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480" yWindow="60" windowWidth="11355" windowHeight="8700" activeTab="0"/>
  </bookViews>
  <sheets>
    <sheet name="main" sheetId="1" r:id="rId1"/>
    <sheet name="table" sheetId="2" state="hidden" r:id="rId2"/>
    <sheet name="powercurve" sheetId="3" state="hidden" r:id="rId3"/>
    <sheet name="variation-mean" sheetId="4" state="hidden" r:id="rId4"/>
    <sheet name="correlation" sheetId="5" state="hidden" r:id="rId5"/>
    <sheet name="graphs" sheetId="6" state="hidden" r:id="rId6"/>
    <sheet name="SE" sheetId="7" state="hidden" r:id="rId7"/>
    <sheet name="appendix" sheetId="8" state="hidden" r:id="rId8"/>
  </sheets>
  <externalReferences>
    <externalReference r:id="rId11"/>
    <externalReference r:id="rId12"/>
  </externalReferences>
  <definedNames>
    <definedName name="clt">'[2]CLT'!$A$1</definedName>
    <definedName name="failures">'[1]simulator'!$A$1</definedName>
    <definedName name="onetailed">#REF!</definedName>
    <definedName name="page1" localSheetId="3">'variation-mean'!#REF!</definedName>
    <definedName name="page1">'correlation'!#REF!</definedName>
    <definedName name="power">#REF!</definedName>
    <definedName name="powmean">#REF!</definedName>
    <definedName name="powprop">#REF!</definedName>
    <definedName name="prop">#REF!</definedName>
    <definedName name="regr">#REF!</definedName>
    <definedName name="sim">#REF!</definedName>
    <definedName name="twotailed">'[2]p-value'!$A$1</definedName>
  </definedNames>
  <calcPr fullCalcOnLoad="1"/>
</workbook>
</file>

<file path=xl/comments1.xml><?xml version="1.0" encoding="utf-8"?>
<comments xmlns="http://schemas.openxmlformats.org/spreadsheetml/2006/main">
  <authors>
    <author>Ken Gerow</author>
  </authors>
  <commentList>
    <comment ref="O18" authorId="0">
      <text>
        <r>
          <rPr>
            <sz val="8"/>
            <rFont val="Tahoma"/>
            <family val="0"/>
          </rPr>
          <t xml:space="preserve">design 1 (paired): df = n-1
Design 2 (ind, =n) and 
Design 3 (ind,  diff n): df = Satterthwaite
Design 4 (paired plus extra) df = complicated Satterthwaite using as one sample the paired data and as the other the differences between mean "1" and mean "3".
</t>
        </r>
      </text>
    </comment>
    <comment ref="O4" authorId="0">
      <text>
        <r>
          <rPr>
            <sz val="8"/>
            <rFont val="Tahoma"/>
            <family val="0"/>
          </rPr>
          <t>n2 is either the second sample, or, in the case of design 4 (paired plus extra), n2 is the size of the "extra" sample</t>
        </r>
      </text>
    </comment>
    <comment ref="O1" authorId="0">
      <text>
        <r>
          <rPr>
            <sz val="8"/>
            <rFont val="Tahoma"/>
            <family val="0"/>
          </rPr>
          <t>1 to compute power for an increase, 0 for a decrease.</t>
        </r>
      </text>
    </comment>
  </commentList>
</comments>
</file>

<file path=xl/comments2.xml><?xml version="1.0" encoding="utf-8"?>
<comments xmlns="http://schemas.openxmlformats.org/spreadsheetml/2006/main">
  <authors>
    <author>Ken Gerow</author>
  </authors>
  <commentList>
    <comment ref="H4" authorId="0">
      <text>
        <r>
          <rPr>
            <b/>
            <sz val="8"/>
            <rFont val="Tahoma"/>
            <family val="0"/>
          </rPr>
          <t>1: equal SD
2: arbitrary SDs
3: SD proportional to mean
4: Variance proportion to mean</t>
        </r>
      </text>
    </comment>
    <comment ref="L3" authorId="0">
      <text>
        <r>
          <rPr>
            <b/>
            <sz val="8"/>
            <rFont val="Tahoma"/>
            <family val="0"/>
          </rPr>
          <t>1: paired
2: independent, equal n
3: independent, different n
4: paired plus extra (independent) sample</t>
        </r>
      </text>
    </comment>
  </commentList>
</comments>
</file>

<file path=xl/comments3.xml><?xml version="1.0" encoding="utf-8"?>
<comments xmlns="http://schemas.openxmlformats.org/spreadsheetml/2006/main">
  <authors>
    <author>Ken Gerow</author>
  </authors>
  <commentList>
    <comment ref="L2" authorId="0">
      <text>
        <r>
          <rPr>
            <sz val="8"/>
            <rFont val="Tahoma"/>
            <family val="0"/>
          </rPr>
          <t>1 to compute power for an increase, 0 for a decrease.</t>
        </r>
      </text>
    </comment>
    <comment ref="L5" authorId="0">
      <text>
        <r>
          <rPr>
            <sz val="8"/>
            <rFont val="Tahoma"/>
            <family val="0"/>
          </rPr>
          <t>n2 is either the second sample, or, in the case of design 4 (paired plus extra), n2 is the size of the "extra" sample</t>
        </r>
      </text>
    </comment>
  </commentList>
</comments>
</file>

<file path=xl/sharedStrings.xml><?xml version="1.0" encoding="utf-8"?>
<sst xmlns="http://schemas.openxmlformats.org/spreadsheetml/2006/main" count="213" uniqueCount="128">
  <si>
    <t>alpha</t>
  </si>
  <si>
    <t>power</t>
  </si>
  <si>
    <t>Z-sub-beta</t>
  </si>
  <si>
    <t>end</t>
  </si>
  <si>
    <t>step</t>
  </si>
  <si>
    <t>percent change</t>
  </si>
  <si>
    <t>alternate mean</t>
  </si>
  <si>
    <t>correlation</t>
  </si>
  <si>
    <t>t-sub-alpha</t>
  </si>
  <si>
    <t>n1</t>
  </si>
  <si>
    <t>n2</t>
  </si>
  <si>
    <t>s1^2</t>
  </si>
  <si>
    <t>s2^2</t>
  </si>
  <si>
    <t>df</t>
  </si>
  <si>
    <t>start</t>
  </si>
  <si>
    <t>null SE</t>
  </si>
  <si>
    <t>alt SE</t>
  </si>
  <si>
    <t>tcrit</t>
  </si>
  <si>
    <t>tailedness</t>
  </si>
  <si>
    <t>delta</t>
  </si>
  <si>
    <t>sediff</t>
  </si>
  <si>
    <t>num</t>
  </si>
  <si>
    <t>den</t>
  </si>
  <si>
    <t>w1</t>
  </si>
  <si>
    <t>w2</t>
  </si>
  <si>
    <t>V1^-1</t>
  </si>
  <si>
    <t>V2^-1</t>
  </si>
  <si>
    <t>Satterthwaite</t>
  </si>
  <si>
    <t>alt mean</t>
  </si>
  <si>
    <t>sd design</t>
  </si>
  <si>
    <t>X</t>
  </si>
  <si>
    <t>Null</t>
  </si>
  <si>
    <t>alt</t>
  </si>
  <si>
    <t>null mean</t>
  </si>
  <si>
    <t>means</t>
  </si>
  <si>
    <t>sd ratio</t>
  </si>
  <si>
    <t>second sample</t>
  </si>
  <si>
    <t xml:space="preserve">first sample: </t>
  </si>
  <si>
    <t>"third" sample</t>
  </si>
  <si>
    <t>Use spin button to select</t>
  </si>
  <si>
    <t>The graphs are scaled so the "null" curve is centered on zero, the "alternate" on the size of difference you specified.  They are also scaled to standard errors in accord with your settings.</t>
  </si>
  <si>
    <t>null hypothesis</t>
  </si>
  <si>
    <t>greater-than</t>
  </si>
  <si>
    <t>less-than</t>
  </si>
  <si>
    <t>SE:</t>
  </si>
  <si>
    <t>for graphs (&lt; and &gt;)</t>
  </si>
  <si>
    <r>
      <t>These curves depict (standardized) values of the difference in means (mean of differences if paired data). The</t>
    </r>
    <r>
      <rPr>
        <sz val="10"/>
        <color indexed="18"/>
        <rFont val="Arial"/>
        <family val="2"/>
      </rPr>
      <t xml:space="preserve"> blue</t>
    </r>
    <r>
      <rPr>
        <sz val="10"/>
        <rFont val="Arial"/>
        <family val="2"/>
      </rPr>
      <t xml:space="preserve"> curve represents values one would expect under the null; the orange curves represent values in accord with the specified alternate.</t>
    </r>
  </si>
  <si>
    <t>The null and alternate distributions are different depending on sample size, effect size, and variation patterns.  If variation proportional to means is specified, the alternate will be skinnier for a "less than " alternate than for a "greater than" alternate.</t>
  </si>
  <si>
    <t>mean nonct</t>
  </si>
  <si>
    <t>SD nct</t>
  </si>
  <si>
    <t>difference</t>
  </si>
  <si>
    <t>difference:</t>
  </si>
  <si>
    <t>Sample size and power calculations for two samples (when estimating means).</t>
  </si>
  <si>
    <t>Biological data often exhibits variation that is somehow proportional to means. This tool was built to facilitate flexibility in modeling that variation/mean pattern, and to allow different sampling designs (paired, unpaired, equal or unequal sample sizes) for power/sample size calculations.</t>
  </si>
  <si>
    <t>Summaries</t>
  </si>
  <si>
    <t>x</t>
  </si>
  <si>
    <t>orig y</t>
  </si>
  <si>
    <t>obs. Y</t>
  </si>
  <si>
    <t>fitted</t>
  </si>
  <si>
    <t>resids</t>
  </si>
  <si>
    <t>SD(X)</t>
  </si>
  <si>
    <t>Int</t>
  </si>
  <si>
    <t>Slope</t>
  </si>
  <si>
    <t>SD(Y)</t>
  </si>
  <si>
    <t>X-bar</t>
  </si>
  <si>
    <t>Y-bar</t>
  </si>
  <si>
    <t>Mean of Y:</t>
  </si>
  <si>
    <t>SD of Y:</t>
  </si>
  <si>
    <t>SD of residuals:</t>
  </si>
  <si>
    <t>Correlation</t>
  </si>
  <si>
    <t>Mean of X:</t>
  </si>
  <si>
    <t>SD of X:</t>
  </si>
  <si>
    <r>
      <t>R</t>
    </r>
    <r>
      <rPr>
        <b/>
        <vertAlign val="superscript"/>
        <sz val="10"/>
        <rFont val="Arial"/>
        <family val="2"/>
      </rPr>
      <t>2</t>
    </r>
  </si>
  <si>
    <t>For this sheet, I chose to keep the SD of Y and of X constant. This causes the slope to get steeper as correlation gets more extreme. In real life, a large correlation can be associated with a small or large slope. The scale I chose (mean and SD of Y and X) are not important in the sense that if you have different values, a given correlation would have a similar appearance when graphed.</t>
  </si>
  <si>
    <t>This tool will give you a feel for the correlation between two samples. How similar do you think two paired samples (n = 20) would be in a setting like yours?</t>
  </si>
  <si>
    <t>SDs or Variances</t>
  </si>
  <si>
    <t>Observed</t>
  </si>
  <si>
    <t>Selections</t>
  </si>
  <si>
    <t>Min X</t>
  </si>
  <si>
    <t>Max X</t>
  </si>
  <si>
    <t>Summary of SD/mean and Variance/mean ratios</t>
  </si>
  <si>
    <t>Min Y</t>
  </si>
  <si>
    <t>Max Y</t>
  </si>
  <si>
    <t>SD</t>
  </si>
  <si>
    <t>Variance</t>
  </si>
  <si>
    <t>mean</t>
  </si>
  <si>
    <t>C.V.</t>
  </si>
  <si>
    <t>SDs versus means</t>
  </si>
  <si>
    <t>variances versus means</t>
  </si>
  <si>
    <t>increase?</t>
  </si>
  <si>
    <t>4th var term</t>
  </si>
  <si>
    <t>Var term 1</t>
  </si>
  <si>
    <t>2nd Var term</t>
  </si>
  <si>
    <t>3rd Var term</t>
  </si>
  <si>
    <t>pre-sets</t>
  </si>
  <si>
    <t>steps</t>
  </si>
  <si>
    <t>var mean 1</t>
  </si>
  <si>
    <t>Var 2</t>
  </si>
  <si>
    <t>3rd Var</t>
  </si>
  <si>
    <t>2nd var</t>
  </si>
  <si>
    <t>4th Var</t>
  </si>
  <si>
    <t>tailedness of test</t>
  </si>
  <si>
    <t>initial mean</t>
  </si>
  <si>
    <t>variation pattern</t>
  </si>
  <si>
    <t>Design</t>
  </si>
  <si>
    <t>n3 (if any)</t>
  </si>
  <si>
    <t>Test Inputs (from main sheet). If these aren't what you want, return and change them</t>
  </si>
  <si>
    <t>Alternate</t>
  </si>
  <si>
    <t>Enter a minimum and a maximum mean for which you would like the power curve, then click on Go!</t>
  </si>
  <si>
    <t>Min</t>
  </si>
  <si>
    <t>Max</t>
  </si>
  <si>
    <t>min Y</t>
  </si>
  <si>
    <t>max Y</t>
  </si>
  <si>
    <t xml:space="preserve">Null </t>
  </si>
  <si>
    <t>Variation Model</t>
  </si>
  <si>
    <t>Null mean</t>
  </si>
  <si>
    <t>2nd SD</t>
  </si>
  <si>
    <t xml:space="preserve">Tails </t>
  </si>
  <si>
    <t>Power</t>
  </si>
  <si>
    <t>run</t>
  </si>
  <si>
    <t>in test</t>
  </si>
  <si>
    <t>size</t>
  </si>
  <si>
    <t>direction</t>
  </si>
  <si>
    <t>parameter</t>
  </si>
  <si>
    <t>estimate</t>
  </si>
  <si>
    <t>(if any)</t>
  </si>
  <si>
    <t>Code</t>
  </si>
  <si>
    <t>MEAN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</si>
</sst>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0.0"/>
    <numFmt numFmtId="167" formatCode="0.000%"/>
    <numFmt numFmtId="168" formatCode="0.0000"/>
    <numFmt numFmtId="169" formatCode="&quot;Yes&quot;;&quot;Yes&quot;;&quot;No&quot;"/>
    <numFmt numFmtId="170" formatCode="&quot;True&quot;;&quot;True&quot;;&quot;False&quot;"/>
    <numFmt numFmtId="171" formatCode="&quot;On&quot;;&quot;On&quot;;&quot;Off&quot;"/>
    <numFmt numFmtId="172" formatCode="[$€-2]\ #,##0.00_);[Red]\([$€-2]\ #,##0.00\)"/>
    <numFmt numFmtId="173" formatCode="0.0000000000"/>
    <numFmt numFmtId="174" formatCode="0.0%"/>
    <numFmt numFmtId="175" formatCode="0.00000000000000000000"/>
  </numFmts>
  <fonts count="23">
    <font>
      <sz val="10"/>
      <name val="Arial"/>
      <family val="0"/>
    </font>
    <font>
      <b/>
      <sz val="10"/>
      <name val="Arial"/>
      <family val="0"/>
    </font>
    <font>
      <sz val="8"/>
      <name val="Arial"/>
      <family val="0"/>
    </font>
    <font>
      <sz val="10"/>
      <color indexed="9"/>
      <name val="Arial"/>
      <family val="0"/>
    </font>
    <font>
      <u val="single"/>
      <sz val="10"/>
      <color indexed="12"/>
      <name val="Arial"/>
      <family val="0"/>
    </font>
    <font>
      <u val="single"/>
      <sz val="10"/>
      <color indexed="36"/>
      <name val="Arial"/>
      <family val="0"/>
    </font>
    <font>
      <b/>
      <sz val="10"/>
      <color indexed="9"/>
      <name val="Arial"/>
      <family val="0"/>
    </font>
    <font>
      <b/>
      <sz val="9"/>
      <name val="Arial"/>
      <family val="0"/>
    </font>
    <font>
      <sz val="9"/>
      <name val="Arial"/>
      <family val="2"/>
    </font>
    <font>
      <sz val="8.5"/>
      <name val="Arial"/>
      <family val="0"/>
    </font>
    <font>
      <b/>
      <sz val="12"/>
      <name val="Arial"/>
      <family val="0"/>
    </font>
    <font>
      <sz val="10"/>
      <color indexed="18"/>
      <name val="Arial"/>
      <family val="2"/>
    </font>
    <font>
      <b/>
      <vertAlign val="superscript"/>
      <sz val="10"/>
      <name val="Arial"/>
      <family val="2"/>
    </font>
    <font>
      <sz val="16"/>
      <name val="Arial"/>
      <family val="0"/>
    </font>
    <font>
      <sz val="12"/>
      <name val="Times New Roman"/>
      <family val="1"/>
    </font>
    <font>
      <b/>
      <sz val="8"/>
      <name val="Arial"/>
      <family val="2"/>
    </font>
    <font>
      <sz val="5.75"/>
      <name val="Arial"/>
      <family val="0"/>
    </font>
    <font>
      <sz val="5.25"/>
      <name val="Arial"/>
      <family val="0"/>
    </font>
    <font>
      <sz val="8"/>
      <name val="Tahoma"/>
      <family val="0"/>
    </font>
    <font>
      <sz val="10.5"/>
      <name val="Arial"/>
      <family val="0"/>
    </font>
    <font>
      <sz val="11"/>
      <name val="Arial"/>
      <family val="0"/>
    </font>
    <font>
      <b/>
      <sz val="10.25"/>
      <name val="Arial"/>
      <family val="0"/>
    </font>
    <font>
      <b/>
      <sz val="8"/>
      <name val="Tahoma"/>
      <family val="0"/>
    </font>
  </fonts>
  <fills count="9">
    <fill>
      <patternFill/>
    </fill>
    <fill>
      <patternFill patternType="gray125"/>
    </fill>
    <fill>
      <patternFill patternType="solid">
        <fgColor indexed="11"/>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53">
    <border>
      <left/>
      <right/>
      <top/>
      <bottom/>
      <diagonal/>
    </border>
    <border>
      <left>
        <color indexed="63"/>
      </left>
      <right style="thick">
        <color indexed="53"/>
      </right>
      <top style="thick">
        <color indexed="53"/>
      </top>
      <bottom>
        <color indexed="63"/>
      </bottom>
    </border>
    <border>
      <left style="thick">
        <color indexed="53"/>
      </left>
      <right>
        <color indexed="63"/>
      </right>
      <top>
        <color indexed="63"/>
      </top>
      <bottom>
        <color indexed="63"/>
      </bottom>
    </border>
    <border>
      <left>
        <color indexed="63"/>
      </left>
      <right style="thick">
        <color indexed="53"/>
      </right>
      <top>
        <color indexed="63"/>
      </top>
      <bottom>
        <color indexed="63"/>
      </bottom>
    </border>
    <border>
      <left>
        <color indexed="63"/>
      </left>
      <right style="thick">
        <color indexed="53"/>
      </right>
      <top>
        <color indexed="63"/>
      </top>
      <bottom style="thick">
        <color indexed="53"/>
      </bottom>
    </border>
    <border>
      <left style="thick">
        <color indexed="53"/>
      </left>
      <right>
        <color indexed="63"/>
      </right>
      <top style="thick">
        <color indexed="53"/>
      </top>
      <bottom>
        <color indexed="63"/>
      </bottom>
    </border>
    <border>
      <left>
        <color indexed="63"/>
      </left>
      <right>
        <color indexed="63"/>
      </right>
      <top style="thick">
        <color indexed="53"/>
      </top>
      <bottom>
        <color indexed="63"/>
      </bottom>
    </border>
    <border>
      <left style="thick">
        <color indexed="53"/>
      </left>
      <right>
        <color indexed="63"/>
      </right>
      <top>
        <color indexed="63"/>
      </top>
      <bottom style="thick">
        <color indexed="53"/>
      </bottom>
    </border>
    <border>
      <left>
        <color indexed="63"/>
      </left>
      <right>
        <color indexed="63"/>
      </right>
      <top>
        <color indexed="63"/>
      </top>
      <bottom style="thick">
        <color indexed="53"/>
      </bottom>
    </border>
    <border>
      <left>
        <color indexed="63"/>
      </left>
      <right style="thick"/>
      <top>
        <color indexed="63"/>
      </top>
      <bottom>
        <color indexed="63"/>
      </bottom>
    </border>
    <border>
      <left style="medium"/>
      <right style="medium"/>
      <top style="medium"/>
      <bottom style="medium"/>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ck"/>
    </border>
    <border>
      <left style="medium"/>
      <right>
        <color indexed="63"/>
      </right>
      <top>
        <color indexed="63"/>
      </top>
      <bottom style="thick"/>
    </border>
    <border>
      <left>
        <color indexed="63"/>
      </left>
      <right style="medium"/>
      <top>
        <color indexed="63"/>
      </top>
      <bottom style="thick"/>
    </border>
    <border>
      <left style="thick">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thick">
        <color indexed="17"/>
      </right>
      <top style="thick">
        <color indexed="17"/>
      </top>
      <bottom>
        <color indexed="63"/>
      </bottom>
    </border>
    <border>
      <left style="thick">
        <color indexed="17"/>
      </left>
      <right>
        <color indexed="63"/>
      </right>
      <top>
        <color indexed="63"/>
      </top>
      <bottom style="double">
        <color indexed="17"/>
      </bottom>
    </border>
    <border>
      <left>
        <color indexed="63"/>
      </left>
      <right>
        <color indexed="63"/>
      </right>
      <top>
        <color indexed="63"/>
      </top>
      <bottom style="double">
        <color indexed="17"/>
      </bottom>
    </border>
    <border>
      <left>
        <color indexed="63"/>
      </left>
      <right style="thick">
        <color indexed="17"/>
      </right>
      <top>
        <color indexed="63"/>
      </top>
      <bottom style="double">
        <color indexed="17"/>
      </bottom>
    </border>
    <border>
      <left style="thick">
        <color indexed="17"/>
      </left>
      <right>
        <color indexed="63"/>
      </right>
      <top style="double">
        <color indexed="17"/>
      </top>
      <bottom>
        <color indexed="63"/>
      </bottom>
    </border>
    <border>
      <left>
        <color indexed="63"/>
      </left>
      <right>
        <color indexed="63"/>
      </right>
      <top style="double">
        <color indexed="17"/>
      </top>
      <bottom>
        <color indexed="63"/>
      </bottom>
    </border>
    <border>
      <left>
        <color indexed="63"/>
      </left>
      <right style="thick">
        <color indexed="17"/>
      </right>
      <top style="double">
        <color indexed="17"/>
      </top>
      <bottom>
        <color indexed="63"/>
      </bottom>
    </border>
    <border>
      <left style="thick">
        <color indexed="17"/>
      </left>
      <right>
        <color indexed="63"/>
      </right>
      <top>
        <color indexed="63"/>
      </top>
      <bottom>
        <color indexed="63"/>
      </bottom>
    </border>
    <border>
      <left>
        <color indexed="63"/>
      </left>
      <right style="thick">
        <color indexed="17"/>
      </right>
      <top>
        <color indexed="63"/>
      </top>
      <bottom>
        <color indexed="63"/>
      </bottom>
    </border>
    <border>
      <left style="thick">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style="thick">
        <color indexed="17"/>
      </right>
      <top>
        <color indexed="63"/>
      </top>
      <bottom style="thick">
        <color indexed="17"/>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0" fillId="0" borderId="0" xfId="0" applyFill="1" applyAlignment="1">
      <alignment/>
    </xf>
    <xf numFmtId="0" fontId="0" fillId="0" borderId="0" xfId="0" applyBorder="1" applyAlignment="1">
      <alignment/>
    </xf>
    <xf numFmtId="0" fontId="7" fillId="0" borderId="0" xfId="0" applyFont="1" applyFill="1" applyAlignment="1">
      <alignment horizontal="right"/>
    </xf>
    <xf numFmtId="0" fontId="1" fillId="0" borderId="0" xfId="0" applyFont="1" applyFill="1" applyAlignment="1" applyProtection="1">
      <alignment horizontal="center"/>
      <protection hidden="1"/>
    </xf>
    <xf numFmtId="0" fontId="0" fillId="0" borderId="0" xfId="0" applyFont="1" applyAlignment="1">
      <alignment/>
    </xf>
    <xf numFmtId="164" fontId="0" fillId="0" borderId="0" xfId="0" applyNumberFormat="1" applyFont="1" applyAlignment="1">
      <alignment/>
    </xf>
    <xf numFmtId="0" fontId="0" fillId="0" borderId="0" xfId="0" applyFont="1" applyFill="1" applyAlignment="1">
      <alignment/>
    </xf>
    <xf numFmtId="0" fontId="1" fillId="0" borderId="0" xfId="0" applyFont="1" applyAlignment="1">
      <alignment/>
    </xf>
    <xf numFmtId="0" fontId="0" fillId="0" borderId="1" xfId="0" applyBorder="1" applyAlignment="1">
      <alignment/>
    </xf>
    <xf numFmtId="0" fontId="1" fillId="2" borderId="2" xfId="0" applyFont="1" applyFill="1" applyBorder="1" applyAlignment="1">
      <alignment horizontal="center"/>
    </xf>
    <xf numFmtId="0" fontId="0" fillId="0" borderId="0" xfId="0" applyBorder="1" applyAlignment="1" applyProtection="1">
      <alignment/>
      <protection locked="0"/>
    </xf>
    <xf numFmtId="0" fontId="0" fillId="0" borderId="3" xfId="0" applyBorder="1" applyAlignment="1">
      <alignment/>
    </xf>
    <xf numFmtId="0" fontId="0" fillId="0" borderId="2" xfId="0" applyBorder="1" applyAlignment="1">
      <alignment/>
    </xf>
    <xf numFmtId="0" fontId="0" fillId="0" borderId="0" xfId="0" applyBorder="1" applyAlignment="1">
      <alignment/>
    </xf>
    <xf numFmtId="0" fontId="1" fillId="3" borderId="2" xfId="0" applyFont="1" applyFill="1" applyBorder="1" applyAlignment="1">
      <alignment horizontal="right"/>
    </xf>
    <xf numFmtId="0" fontId="1" fillId="4" borderId="0" xfId="0" applyFont="1" applyFill="1" applyBorder="1" applyAlignment="1" applyProtection="1">
      <alignment horizontal="center"/>
      <protection locked="0"/>
    </xf>
    <xf numFmtId="0" fontId="1" fillId="2" borderId="0" xfId="0" applyFont="1" applyFill="1" applyBorder="1" applyAlignment="1" applyProtection="1">
      <alignment horizontal="center"/>
      <protection hidden="1"/>
    </xf>
    <xf numFmtId="0" fontId="0" fillId="0" borderId="4" xfId="0" applyBorder="1" applyAlignment="1">
      <alignment/>
    </xf>
    <xf numFmtId="164" fontId="6" fillId="0" borderId="0" xfId="0" applyNumberFormat="1" applyFont="1" applyFill="1" applyBorder="1" applyAlignment="1" applyProtection="1">
      <alignment horizontal="center"/>
      <protection hidden="1"/>
    </xf>
    <xf numFmtId="0" fontId="0" fillId="0" borderId="5" xfId="0" applyBorder="1" applyAlignment="1">
      <alignment/>
    </xf>
    <xf numFmtId="0" fontId="0" fillId="0" borderId="6" xfId="0" applyBorder="1" applyAlignment="1">
      <alignment/>
    </xf>
    <xf numFmtId="0" fontId="6" fillId="0" borderId="2" xfId="0" applyFont="1" applyFill="1" applyBorder="1" applyAlignment="1">
      <alignment horizontal="right"/>
    </xf>
    <xf numFmtId="0" fontId="0" fillId="0" borderId="7" xfId="0" applyBorder="1" applyAlignment="1">
      <alignment/>
    </xf>
    <xf numFmtId="0" fontId="0" fillId="0" borderId="8" xfId="0" applyBorder="1" applyAlignment="1">
      <alignment/>
    </xf>
    <xf numFmtId="0" fontId="7" fillId="3" borderId="2" xfId="0" applyFont="1" applyFill="1" applyBorder="1" applyAlignment="1">
      <alignment horizontal="right"/>
    </xf>
    <xf numFmtId="0" fontId="7" fillId="3" borderId="2" xfId="0" applyFont="1" applyFill="1" applyBorder="1" applyAlignment="1">
      <alignment horizontal="right"/>
    </xf>
    <xf numFmtId="0" fontId="7" fillId="0" borderId="2" xfId="0" applyFont="1" applyFill="1" applyBorder="1" applyAlignment="1">
      <alignment horizontal="right"/>
    </xf>
    <xf numFmtId="0" fontId="6" fillId="0" borderId="0" xfId="0" applyFont="1" applyFill="1" applyBorder="1" applyAlignment="1" applyProtection="1">
      <alignment horizontal="center"/>
      <protection locked="0"/>
    </xf>
    <xf numFmtId="0" fontId="8" fillId="0" borderId="0" xfId="0" applyFont="1" applyFill="1" applyBorder="1" applyAlignment="1">
      <alignment/>
    </xf>
    <xf numFmtId="0" fontId="0" fillId="0" borderId="6" xfId="0" applyBorder="1" applyAlignment="1" applyProtection="1">
      <alignment/>
      <protection locked="0"/>
    </xf>
    <xf numFmtId="9" fontId="1" fillId="2" borderId="0" xfId="0" applyNumberFormat="1" applyFont="1" applyFill="1" applyBorder="1" applyAlignment="1" applyProtection="1">
      <alignment horizontal="center"/>
      <protection hidden="1"/>
    </xf>
    <xf numFmtId="0" fontId="1" fillId="0" borderId="2" xfId="0" applyFont="1" applyFill="1" applyBorder="1" applyAlignment="1">
      <alignment horizontal="center" vertical="center"/>
    </xf>
    <xf numFmtId="0" fontId="1" fillId="2" borderId="0" xfId="0" applyFont="1" applyFill="1" applyBorder="1" applyAlignment="1" applyProtection="1">
      <alignment horizontal="center"/>
      <protection/>
    </xf>
    <xf numFmtId="0" fontId="1" fillId="3" borderId="2" xfId="0" applyFont="1" applyFill="1" applyBorder="1" applyAlignment="1">
      <alignment horizontal="right"/>
    </xf>
    <xf numFmtId="0" fontId="0" fillId="0" borderId="0" xfId="0" applyFont="1" applyAlignment="1">
      <alignment horizontal="right"/>
    </xf>
    <xf numFmtId="0" fontId="0" fillId="0" borderId="0" xfId="0" applyFont="1" applyAlignment="1">
      <alignment/>
    </xf>
    <xf numFmtId="0" fontId="1" fillId="3" borderId="0" xfId="0" applyFont="1" applyFill="1" applyBorder="1" applyAlignment="1">
      <alignment horizontal="right" vertical="center"/>
    </xf>
    <xf numFmtId="0" fontId="1" fillId="0" borderId="0" xfId="0" applyFont="1" applyFill="1" applyBorder="1" applyAlignment="1">
      <alignment horizontal="right" vertical="center"/>
    </xf>
    <xf numFmtId="0" fontId="3" fillId="5" borderId="0" xfId="0" applyFont="1" applyFill="1" applyAlignment="1">
      <alignment/>
    </xf>
    <xf numFmtId="0" fontId="0" fillId="0" borderId="0" xfId="0" applyFill="1" applyBorder="1" applyAlignment="1">
      <alignment horizontal="left"/>
    </xf>
    <xf numFmtId="0" fontId="6" fillId="0" borderId="0" xfId="0" applyFont="1" applyFill="1" applyBorder="1" applyAlignment="1">
      <alignment horizontal="right"/>
    </xf>
    <xf numFmtId="0" fontId="1" fillId="0" borderId="0" xfId="0" applyFont="1" applyFill="1" applyBorder="1" applyAlignment="1" applyProtection="1">
      <alignment horizontal="center"/>
      <protection hidden="1"/>
    </xf>
    <xf numFmtId="0" fontId="0" fillId="0" borderId="2" xfId="0" applyFont="1" applyBorder="1" applyAlignment="1">
      <alignment/>
    </xf>
    <xf numFmtId="1" fontId="1" fillId="2" borderId="3" xfId="0" applyNumberFormat="1" applyFont="1" applyFill="1" applyBorder="1" applyAlignment="1" applyProtection="1">
      <alignment horizontal="center"/>
      <protection hidden="1"/>
    </xf>
    <xf numFmtId="0" fontId="3" fillId="0" borderId="3" xfId="0" applyFont="1" applyBorder="1" applyAlignment="1" applyProtection="1">
      <alignment/>
      <protection locked="0"/>
    </xf>
    <xf numFmtId="0" fontId="0" fillId="0" borderId="0" xfId="0" applyFont="1" applyFill="1" applyBorder="1" applyAlignment="1">
      <alignment/>
    </xf>
    <xf numFmtId="0" fontId="0" fillId="0" borderId="8" xfId="0" applyFill="1" applyBorder="1" applyAlignment="1">
      <alignment/>
    </xf>
    <xf numFmtId="0" fontId="3" fillId="0" borderId="3" xfId="0" applyFont="1" applyBorder="1" applyAlignment="1" applyProtection="1">
      <alignment/>
      <protection locked="0"/>
    </xf>
    <xf numFmtId="0" fontId="3" fillId="0" borderId="0" xfId="0" applyFont="1" applyAlignment="1">
      <alignment/>
    </xf>
    <xf numFmtId="0" fontId="0" fillId="0" borderId="0" xfId="0" applyFont="1" applyFill="1" applyAlignment="1">
      <alignment horizontal="center"/>
    </xf>
    <xf numFmtId="0" fontId="1" fillId="2" borderId="0" xfId="0" applyFont="1" applyFill="1" applyAlignment="1">
      <alignment horizontal="center"/>
    </xf>
    <xf numFmtId="0" fontId="0" fillId="3" borderId="0" xfId="0" applyFill="1" applyAlignment="1">
      <alignment horizontal="right"/>
    </xf>
    <xf numFmtId="0" fontId="1" fillId="0" borderId="0" xfId="0" applyFont="1" applyFill="1" applyAlignment="1">
      <alignment horizontal="center"/>
    </xf>
    <xf numFmtId="164" fontId="1" fillId="2" borderId="0" xfId="0" applyNumberFormat="1" applyFont="1" applyFill="1" applyAlignment="1">
      <alignment horizontal="center"/>
    </xf>
    <xf numFmtId="0" fontId="8" fillId="0" borderId="0" xfId="0" applyFont="1" applyAlignment="1">
      <alignment/>
    </xf>
    <xf numFmtId="0" fontId="0" fillId="0" borderId="0" xfId="0" applyFill="1" applyAlignment="1">
      <alignment horizontal="right"/>
    </xf>
    <xf numFmtId="164" fontId="1" fillId="0" borderId="0" xfId="0" applyNumberFormat="1" applyFont="1" applyFill="1" applyAlignment="1">
      <alignment horizontal="center"/>
    </xf>
    <xf numFmtId="0" fontId="3" fillId="0" borderId="0" xfId="0" applyFont="1" applyAlignment="1">
      <alignment horizontal="right"/>
    </xf>
    <xf numFmtId="0" fontId="0" fillId="6" borderId="0" xfId="0" applyFill="1" applyAlignment="1">
      <alignment/>
    </xf>
    <xf numFmtId="2" fontId="1" fillId="2" borderId="0" xfId="0" applyNumberFormat="1" applyFont="1" applyFill="1" applyAlignment="1">
      <alignment horizontal="center"/>
    </xf>
    <xf numFmtId="0" fontId="13" fillId="0" borderId="0" xfId="0" applyFont="1" applyFill="1" applyBorder="1" applyAlignment="1">
      <alignment horizontal="center"/>
    </xf>
    <xf numFmtId="0" fontId="3" fillId="0" borderId="0" xfId="0" applyFont="1" applyFill="1" applyBorder="1" applyAlignment="1">
      <alignment horizontal="right"/>
    </xf>
    <xf numFmtId="0" fontId="0" fillId="0" borderId="0" xfId="0" applyAlignment="1">
      <alignment/>
    </xf>
    <xf numFmtId="0" fontId="0" fillId="0" borderId="0" xfId="0" applyFill="1" applyBorder="1" applyAlignment="1">
      <alignment horizontal="center"/>
    </xf>
    <xf numFmtId="0" fontId="1" fillId="0" borderId="0" xfId="0" applyFont="1" applyFill="1" applyAlignment="1">
      <alignment horizontal="right"/>
    </xf>
    <xf numFmtId="0" fontId="1" fillId="0" borderId="0" xfId="0" applyFont="1" applyFill="1" applyAlignment="1" applyProtection="1">
      <alignment horizontal="center"/>
      <protection/>
    </xf>
    <xf numFmtId="0" fontId="0" fillId="0" borderId="0" xfId="0" applyFill="1" applyAlignment="1">
      <alignment/>
    </xf>
    <xf numFmtId="0" fontId="1" fillId="0" borderId="0" xfId="0" applyFont="1" applyFill="1" applyAlignment="1">
      <alignment horizontal="right"/>
    </xf>
    <xf numFmtId="2" fontId="1" fillId="0" borderId="0" xfId="0" applyNumberFormat="1" applyFont="1" applyFill="1" applyAlignment="1">
      <alignment horizontal="center"/>
    </xf>
    <xf numFmtId="168" fontId="1" fillId="0" borderId="0" xfId="0" applyNumberFormat="1" applyFont="1" applyFill="1" applyAlignment="1">
      <alignment horizontal="center" wrapText="1"/>
    </xf>
    <xf numFmtId="0" fontId="1" fillId="0" borderId="0" xfId="0" applyFont="1" applyAlignment="1">
      <alignment horizontal="right"/>
    </xf>
    <xf numFmtId="0" fontId="1" fillId="0" borderId="0" xfId="0" applyFont="1" applyFill="1" applyAlignment="1">
      <alignment horizontal="right" wrapText="1"/>
    </xf>
    <xf numFmtId="0" fontId="0" fillId="0" borderId="0" xfId="0" applyAlignment="1" applyProtection="1">
      <alignment/>
      <protection locked="0"/>
    </xf>
    <xf numFmtId="0" fontId="1" fillId="0" borderId="0" xfId="0" applyFont="1" applyFill="1" applyAlignment="1">
      <alignment wrapText="1"/>
    </xf>
    <xf numFmtId="0" fontId="0" fillId="0" borderId="0" xfId="0" applyFont="1" applyFill="1" applyAlignment="1">
      <alignment vertical="center"/>
    </xf>
    <xf numFmtId="0" fontId="1" fillId="2" borderId="0" xfId="0" applyFont="1" applyFill="1" applyAlignment="1" applyProtection="1">
      <alignment horizontal="center"/>
      <protection/>
    </xf>
    <xf numFmtId="0" fontId="1" fillId="0" borderId="0" xfId="0" applyFont="1" applyFill="1" applyAlignment="1" applyProtection="1">
      <alignment horizontal="center"/>
      <protection locked="0"/>
    </xf>
    <xf numFmtId="0" fontId="0" fillId="0" borderId="0" xfId="0" applyFont="1" applyFill="1" applyAlignment="1">
      <alignment/>
    </xf>
    <xf numFmtId="10" fontId="1" fillId="2" borderId="0" xfId="0" applyNumberFormat="1" applyFont="1" applyFill="1" applyAlignment="1">
      <alignment horizontal="center"/>
    </xf>
    <xf numFmtId="0" fontId="0" fillId="0" borderId="0" xfId="0" applyFill="1" applyBorder="1" applyAlignment="1">
      <alignment/>
    </xf>
    <xf numFmtId="0" fontId="1" fillId="5" borderId="0" xfId="0" applyFont="1" applyFill="1" applyBorder="1" applyAlignment="1">
      <alignment horizontal="center"/>
    </xf>
    <xf numFmtId="0" fontId="1" fillId="4" borderId="0" xfId="0" applyFont="1" applyFill="1" applyAlignment="1">
      <alignment horizontal="center"/>
    </xf>
    <xf numFmtId="0" fontId="14" fillId="5" borderId="0" xfId="0" applyFont="1" applyFill="1" applyBorder="1" applyAlignment="1">
      <alignment vertical="top" wrapText="1"/>
    </xf>
    <xf numFmtId="0" fontId="1" fillId="5" borderId="0" xfId="0" applyFont="1" applyFill="1" applyAlignment="1">
      <alignment horizontal="center"/>
    </xf>
    <xf numFmtId="174" fontId="1" fillId="0" borderId="0" xfId="0" applyNumberFormat="1" applyFont="1" applyFill="1" applyAlignment="1">
      <alignment horizontal="center"/>
    </xf>
    <xf numFmtId="0" fontId="1" fillId="5" borderId="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5" fillId="7" borderId="9" xfId="0" applyFont="1" applyFill="1" applyBorder="1" applyAlignment="1">
      <alignment horizontal="center"/>
    </xf>
    <xf numFmtId="0" fontId="15" fillId="7" borderId="0" xfId="0" applyFont="1" applyFill="1" applyAlignment="1">
      <alignment horizontal="center"/>
    </xf>
    <xf numFmtId="0" fontId="1" fillId="3" borderId="0" xfId="0" applyFont="1" applyFill="1" applyAlignment="1">
      <alignment horizontal="center"/>
    </xf>
    <xf numFmtId="0" fontId="15" fillId="2" borderId="0" xfId="0" applyFont="1" applyFill="1" applyAlignment="1">
      <alignment horizontal="center"/>
    </xf>
    <xf numFmtId="0" fontId="1" fillId="3" borderId="0" xfId="0" applyFont="1" applyFill="1" applyAlignment="1">
      <alignment/>
    </xf>
    <xf numFmtId="0" fontId="1" fillId="3" borderId="0" xfId="0" applyFont="1" applyFill="1" applyAlignment="1">
      <alignment horizontal="right"/>
    </xf>
    <xf numFmtId="0" fontId="1" fillId="2" borderId="9" xfId="0" applyFont="1" applyFill="1" applyBorder="1" applyAlignment="1">
      <alignment horizontal="center"/>
    </xf>
    <xf numFmtId="0" fontId="1" fillId="8" borderId="0" xfId="0" applyFont="1" applyFill="1" applyAlignment="1" applyProtection="1">
      <alignment horizontal="center"/>
      <protection locked="0"/>
    </xf>
    <xf numFmtId="0" fontId="1" fillId="0" borderId="0" xfId="0" applyFont="1" applyAlignment="1">
      <alignment horizontal="center"/>
    </xf>
    <xf numFmtId="0" fontId="1" fillId="3" borderId="10" xfId="0" applyFont="1" applyFill="1" applyBorder="1" applyAlignment="1">
      <alignment horizontal="center"/>
    </xf>
    <xf numFmtId="0" fontId="1" fillId="0" borderId="0" xfId="0" applyFont="1" applyFill="1" applyAlignment="1" applyProtection="1">
      <alignment horizontal="right"/>
      <protection locked="0"/>
    </xf>
    <xf numFmtId="174" fontId="1" fillId="3" borderId="10" xfId="0" applyNumberFormat="1" applyFont="1" applyFill="1" applyBorder="1" applyAlignment="1">
      <alignment horizontal="center"/>
    </xf>
    <xf numFmtId="0" fontId="1" fillId="4" borderId="0" xfId="0" applyFont="1" applyFill="1" applyAlignment="1" applyProtection="1">
      <alignment horizontal="center"/>
      <protection locked="0"/>
    </xf>
    <xf numFmtId="0" fontId="1" fillId="5" borderId="0" xfId="0" applyFont="1" applyFill="1" applyAlignment="1" applyProtection="1">
      <alignment horizontal="center"/>
      <protection locked="0"/>
    </xf>
    <xf numFmtId="0" fontId="0" fillId="5" borderId="0" xfId="0" applyFill="1" applyAlignment="1">
      <alignment/>
    </xf>
    <xf numFmtId="1" fontId="0" fillId="0" borderId="0" xfId="0" applyNumberFormat="1" applyFont="1" applyAlignment="1">
      <alignment/>
    </xf>
    <xf numFmtId="0" fontId="0" fillId="5" borderId="0" xfId="0" applyFont="1" applyFill="1" applyBorder="1" applyAlignment="1">
      <alignment horizontal="center"/>
    </xf>
    <xf numFmtId="0" fontId="0" fillId="0" borderId="2" xfId="0" applyFont="1" applyBorder="1" applyAlignment="1">
      <alignment/>
    </xf>
    <xf numFmtId="0" fontId="0" fillId="0" borderId="0" xfId="0" applyFont="1" applyFill="1" applyAlignment="1">
      <alignment/>
    </xf>
    <xf numFmtId="0" fontId="0" fillId="0" borderId="2" xfId="0" applyFont="1" applyBorder="1" applyAlignment="1">
      <alignment horizontal="right"/>
    </xf>
    <xf numFmtId="0" fontId="0" fillId="5" borderId="0" xfId="0" applyFont="1" applyFill="1" applyBorder="1" applyAlignment="1">
      <alignment horizontal="center" vertical="center"/>
    </xf>
    <xf numFmtId="0" fontId="0" fillId="0" borderId="2" xfId="0" applyFont="1" applyBorder="1" applyAlignment="1">
      <alignment/>
    </xf>
    <xf numFmtId="2" fontId="1" fillId="5" borderId="0" xfId="0" applyNumberFormat="1" applyFont="1" applyFill="1" applyBorder="1" applyAlignment="1">
      <alignment horizontal="center"/>
    </xf>
    <xf numFmtId="164" fontId="0" fillId="0" borderId="0" xfId="0" applyNumberFormat="1" applyFont="1" applyFill="1" applyAlignment="1">
      <alignment/>
    </xf>
    <xf numFmtId="0" fontId="0" fillId="0" borderId="0" xfId="0" applyFont="1" applyAlignment="1">
      <alignment/>
    </xf>
    <xf numFmtId="0" fontId="6" fillId="5" borderId="0" xfId="0" applyFont="1" applyFill="1" applyBorder="1" applyAlignment="1">
      <alignment horizontal="right" vertical="center"/>
    </xf>
    <xf numFmtId="1" fontId="6" fillId="5" borderId="3" xfId="0" applyNumberFormat="1" applyFont="1" applyFill="1" applyBorder="1" applyAlignment="1" applyProtection="1">
      <alignment horizontal="center"/>
      <protection hidden="1"/>
    </xf>
    <xf numFmtId="174" fontId="0" fillId="0" borderId="0" xfId="0" applyNumberForma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Alignment="1">
      <alignment horizontal="center" vertical="center"/>
    </xf>
    <xf numFmtId="0" fontId="0" fillId="0" borderId="18" xfId="0" applyBorder="1" applyAlignment="1">
      <alignment horizontal="right"/>
    </xf>
    <xf numFmtId="0" fontId="0" fillId="0" borderId="19" xfId="0" applyBorder="1" applyAlignment="1">
      <alignment horizontal="right"/>
    </xf>
    <xf numFmtId="0" fontId="0" fillId="0" borderId="20" xfId="0" applyBorder="1" applyAlignment="1">
      <alignment/>
    </xf>
    <xf numFmtId="0" fontId="0" fillId="0" borderId="0" xfId="0" applyBorder="1" applyAlignment="1">
      <alignment horizontal="right"/>
    </xf>
    <xf numFmtId="0" fontId="0" fillId="0" borderId="21" xfId="0" applyBorder="1" applyAlignment="1">
      <alignment/>
    </xf>
    <xf numFmtId="0" fontId="0" fillId="0" borderId="22" xfId="0" applyBorder="1" applyAlignment="1">
      <alignment horizontal="right"/>
    </xf>
    <xf numFmtId="0" fontId="0" fillId="0" borderId="23" xfId="0" applyBorder="1" applyAlignment="1">
      <alignment horizontal="right"/>
    </xf>
    <xf numFmtId="0" fontId="1" fillId="0" borderId="24" xfId="0" applyFont="1" applyBorder="1" applyAlignment="1">
      <alignment horizontal="center"/>
    </xf>
    <xf numFmtId="0" fontId="1" fillId="0" borderId="25" xfId="0" applyFont="1" applyBorder="1" applyAlignment="1">
      <alignment horizontal="center"/>
    </xf>
    <xf numFmtId="1" fontId="1" fillId="0" borderId="25" xfId="0" applyNumberFormat="1" applyFont="1" applyBorder="1" applyAlignment="1">
      <alignment horizontal="center"/>
    </xf>
    <xf numFmtId="1" fontId="1" fillId="0" borderId="26" xfId="0" applyNumberFormat="1" applyFont="1" applyBorder="1" applyAlignment="1">
      <alignment horizontal="center"/>
    </xf>
    <xf numFmtId="0" fontId="1" fillId="4" borderId="0" xfId="0" applyFont="1" applyFill="1" applyAlignment="1" applyProtection="1">
      <alignment horizontal="center"/>
      <protection locked="0"/>
    </xf>
    <xf numFmtId="0" fontId="0" fillId="0" borderId="0" xfId="0" applyAlignment="1">
      <alignment horizontal="center"/>
    </xf>
    <xf numFmtId="1" fontId="0" fillId="0" borderId="0" xfId="0" applyNumberFormat="1" applyAlignment="1">
      <alignment/>
    </xf>
    <xf numFmtId="1" fontId="0" fillId="0" borderId="13" xfId="0" applyNumberFormat="1" applyBorder="1" applyAlignment="1">
      <alignment/>
    </xf>
    <xf numFmtId="0" fontId="1" fillId="0" borderId="27" xfId="0" applyFont="1" applyBorder="1" applyAlignment="1">
      <alignment horizontal="center" wrapText="1"/>
    </xf>
    <xf numFmtId="0" fontId="1" fillId="0" borderId="28" xfId="0" applyFont="1" applyBorder="1" applyAlignment="1">
      <alignment horizontal="center"/>
    </xf>
    <xf numFmtId="9" fontId="1" fillId="0" borderId="29" xfId="0" applyNumberFormat="1" applyFont="1" applyBorder="1" applyAlignment="1">
      <alignment horizontal="center"/>
    </xf>
    <xf numFmtId="0" fontId="1" fillId="0" borderId="30" xfId="0" applyFont="1" applyBorder="1" applyAlignment="1">
      <alignment horizontal="center"/>
    </xf>
    <xf numFmtId="1" fontId="1" fillId="0" borderId="29" xfId="0" applyNumberFormat="1" applyFont="1" applyBorder="1" applyAlignment="1">
      <alignment horizontal="center"/>
    </xf>
    <xf numFmtId="0" fontId="0" fillId="0" borderId="28" xfId="0" applyBorder="1" applyAlignment="1">
      <alignment horizontal="center"/>
    </xf>
    <xf numFmtId="0" fontId="1" fillId="0" borderId="28" xfId="0" applyFont="1" applyBorder="1" applyAlignment="1">
      <alignment/>
    </xf>
    <xf numFmtId="0" fontId="0" fillId="0" borderId="0" xfId="0" applyFont="1" applyAlignment="1">
      <alignment horizontal="right"/>
    </xf>
    <xf numFmtId="0" fontId="1" fillId="0" borderId="0" xfId="0" applyFont="1" applyAlignment="1">
      <alignment horizontal="center"/>
    </xf>
    <xf numFmtId="0" fontId="8" fillId="0" borderId="0" xfId="0" applyFont="1" applyAlignment="1">
      <alignment/>
    </xf>
    <xf numFmtId="0" fontId="0" fillId="0" borderId="0" xfId="0" applyFont="1" applyAlignment="1">
      <alignment horizontal="right"/>
    </xf>
    <xf numFmtId="0" fontId="0" fillId="0" borderId="0" xfId="0" applyFont="1" applyAlignment="1">
      <alignment/>
    </xf>
    <xf numFmtId="164" fontId="6" fillId="0" borderId="0" xfId="0" applyNumberFormat="1" applyFont="1" applyFill="1" applyBorder="1" applyAlignment="1" applyProtection="1">
      <alignment horizontal="center"/>
      <protection hidden="1" locked="0"/>
    </xf>
    <xf numFmtId="174" fontId="3" fillId="0" borderId="0" xfId="0" applyNumberFormat="1" applyFont="1" applyAlignment="1">
      <alignment/>
    </xf>
    <xf numFmtId="9" fontId="3" fillId="0" borderId="0" xfId="0" applyNumberFormat="1" applyFont="1" applyAlignment="1">
      <alignment/>
    </xf>
    <xf numFmtId="2" fontId="6" fillId="5" borderId="0" xfId="0" applyNumberFormat="1" applyFont="1" applyFill="1" applyAlignment="1">
      <alignment horizontal="center"/>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6" xfId="0" applyBorder="1" applyAlignment="1">
      <alignment wrapText="1"/>
    </xf>
    <xf numFmtId="0" fontId="0" fillId="0" borderId="0" xfId="0" applyBorder="1" applyAlignment="1">
      <alignment wrapText="1"/>
    </xf>
    <xf numFmtId="0" fontId="6" fillId="5" borderId="0" xfId="0" applyFont="1" applyFill="1" applyBorder="1" applyAlignment="1">
      <alignment horizontal="right" wrapText="1"/>
    </xf>
    <xf numFmtId="0" fontId="3" fillId="5" borderId="0" xfId="0" applyFont="1" applyFill="1" applyBorder="1" applyAlignment="1">
      <alignment wrapText="1"/>
    </xf>
    <xf numFmtId="0" fontId="10" fillId="3" borderId="0" xfId="0" applyFont="1" applyFill="1" applyAlignment="1">
      <alignment horizontal="center" vertical="center" wrapText="1"/>
    </xf>
    <xf numFmtId="0" fontId="1" fillId="3" borderId="0" xfId="0" applyFont="1" applyFill="1" applyBorder="1" applyAlignment="1">
      <alignment horizontal="center" wrapText="1"/>
    </xf>
    <xf numFmtId="0" fontId="0" fillId="0" borderId="3" xfId="0" applyBorder="1" applyAlignment="1">
      <alignment horizontal="center" wrapText="1"/>
    </xf>
    <xf numFmtId="0" fontId="0" fillId="0" borderId="0" xfId="0" applyAlignment="1">
      <alignment horizontal="center" wrapText="1"/>
    </xf>
    <xf numFmtId="0" fontId="3" fillId="0" borderId="0" xfId="0" applyFont="1" applyAlignment="1">
      <alignment horizontal="center" wrapText="1"/>
    </xf>
    <xf numFmtId="0" fontId="1" fillId="3" borderId="6" xfId="0" applyFont="1" applyFill="1" applyBorder="1" applyAlignment="1">
      <alignment horizontal="center" wrapText="1"/>
    </xf>
    <xf numFmtId="0" fontId="1" fillId="3" borderId="1" xfId="0" applyFont="1" applyFill="1" applyBorder="1" applyAlignment="1">
      <alignment horizont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9" fontId="1" fillId="2" borderId="0" xfId="0" applyNumberFormat="1" applyFont="1" applyFill="1" applyAlignment="1" applyProtection="1">
      <alignment horizontal="center" vertical="center" wrapText="1"/>
      <protection hidden="1"/>
    </xf>
    <xf numFmtId="0" fontId="8" fillId="3" borderId="37" xfId="0" applyFont="1" applyFill="1" applyBorder="1" applyAlignment="1">
      <alignment vertical="center" wrapText="1"/>
    </xf>
    <xf numFmtId="0" fontId="8" fillId="3" borderId="38" xfId="0" applyFont="1" applyFill="1" applyBorder="1" applyAlignment="1">
      <alignment vertical="center" wrapText="1"/>
    </xf>
    <xf numFmtId="0" fontId="8" fillId="3" borderId="39" xfId="0" applyFont="1" applyFill="1" applyBorder="1" applyAlignment="1">
      <alignment vertical="center" wrapText="1"/>
    </xf>
    <xf numFmtId="0" fontId="8" fillId="3" borderId="40" xfId="0" applyFont="1" applyFill="1" applyBorder="1" applyAlignment="1">
      <alignment vertical="center" wrapText="1"/>
    </xf>
    <xf numFmtId="0" fontId="8" fillId="3" borderId="0" xfId="0" applyFont="1" applyFill="1" applyBorder="1" applyAlignment="1">
      <alignment vertical="center" wrapText="1"/>
    </xf>
    <xf numFmtId="0" fontId="8" fillId="3" borderId="41" xfId="0" applyFont="1" applyFill="1" applyBorder="1" applyAlignment="1">
      <alignment vertical="center" wrapText="1"/>
    </xf>
    <xf numFmtId="0" fontId="8" fillId="0" borderId="40" xfId="0" applyFont="1" applyBorder="1" applyAlignment="1">
      <alignment wrapText="1"/>
    </xf>
    <xf numFmtId="0" fontId="8" fillId="0" borderId="0" xfId="0" applyFont="1" applyBorder="1" applyAlignment="1">
      <alignment wrapText="1"/>
    </xf>
    <xf numFmtId="0" fontId="8" fillId="0" borderId="41" xfId="0" applyFont="1" applyBorder="1" applyAlignment="1">
      <alignment wrapText="1"/>
    </xf>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wrapText="1"/>
    </xf>
    <xf numFmtId="0" fontId="1" fillId="0" borderId="45" xfId="0" applyFont="1" applyBorder="1" applyAlignment="1">
      <alignment horizontal="center" wrapText="1"/>
    </xf>
    <xf numFmtId="0" fontId="1" fillId="0" borderId="46" xfId="0" applyFont="1" applyBorder="1" applyAlignment="1">
      <alignment horizontal="center" wrapText="1"/>
    </xf>
    <xf numFmtId="0" fontId="0" fillId="0" borderId="47" xfId="0" applyBorder="1" applyAlignment="1">
      <alignment horizontal="center" wrapText="1"/>
    </xf>
    <xf numFmtId="0" fontId="0" fillId="0" borderId="46" xfId="0" applyBorder="1" applyAlignment="1">
      <alignment wrapText="1"/>
    </xf>
    <xf numFmtId="0" fontId="1" fillId="3" borderId="0" xfId="0" applyFont="1" applyFill="1" applyAlignment="1">
      <alignment wrapText="1"/>
    </xf>
    <xf numFmtId="0" fontId="1" fillId="0" borderId="25" xfId="0" applyFont="1" applyBorder="1" applyAlignment="1">
      <alignment horizontal="center" wrapText="1"/>
    </xf>
    <xf numFmtId="0" fontId="0" fillId="0" borderId="25" xfId="0" applyBorder="1" applyAlignment="1">
      <alignment horizontal="center" wrapText="1"/>
    </xf>
    <xf numFmtId="0" fontId="1" fillId="3" borderId="0" xfId="0" applyFont="1" applyFill="1" applyAlignment="1">
      <alignment horizontal="center" vertical="center" wrapText="1"/>
    </xf>
    <xf numFmtId="0" fontId="0" fillId="0" borderId="0" xfId="0" applyAlignment="1">
      <alignment horizontal="center" vertical="center" wrapText="1"/>
    </xf>
    <xf numFmtId="0" fontId="0" fillId="0" borderId="48" xfId="0" applyBorder="1" applyAlignment="1">
      <alignment horizontal="center" vertical="center" wrapText="1"/>
    </xf>
    <xf numFmtId="0" fontId="0" fillId="0" borderId="15" xfId="0" applyBorder="1" applyAlignment="1">
      <alignment horizontal="right" wrapText="1"/>
    </xf>
    <xf numFmtId="0" fontId="0" fillId="0" borderId="49" xfId="0" applyBorder="1" applyAlignment="1">
      <alignment wrapText="1"/>
    </xf>
    <xf numFmtId="0" fontId="0" fillId="0" borderId="49" xfId="0" applyBorder="1" applyAlignment="1">
      <alignment horizontal="right" wrapText="1"/>
    </xf>
    <xf numFmtId="0" fontId="1" fillId="3" borderId="50" xfId="0" applyFont="1" applyFill="1" applyBorder="1" applyAlignment="1">
      <alignment horizontal="center" wrapText="1"/>
    </xf>
    <xf numFmtId="0" fontId="0" fillId="0" borderId="51" xfId="0" applyBorder="1" applyAlignment="1">
      <alignment wrapText="1"/>
    </xf>
    <xf numFmtId="0" fontId="1" fillId="3" borderId="45" xfId="0" applyFont="1" applyFill="1" applyBorder="1" applyAlignment="1">
      <alignment horizontal="center" vertical="center" wrapText="1"/>
    </xf>
    <xf numFmtId="0" fontId="0" fillId="0" borderId="52" xfId="0" applyBorder="1" applyAlignment="1">
      <alignment vertical="center" wrapText="1"/>
    </xf>
    <xf numFmtId="0" fontId="1" fillId="3" borderId="0"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horizontal="center" wrapText="1"/>
    </xf>
    <xf numFmtId="0" fontId="0" fillId="3" borderId="0" xfId="0" applyFill="1" applyAlignment="1">
      <alignment wrapText="1"/>
    </xf>
    <xf numFmtId="0" fontId="1" fillId="0" borderId="0" xfId="0" applyFont="1" applyFill="1" applyAlignment="1">
      <alignment horizontal="right" wrapText="1"/>
    </xf>
    <xf numFmtId="0" fontId="1" fillId="0" borderId="0" xfId="0" applyFont="1" applyFill="1" applyAlignment="1">
      <alignment wrapText="1"/>
    </xf>
    <xf numFmtId="0" fontId="1" fillId="0" borderId="0" xfId="0" applyFont="1" applyFill="1" applyAlignment="1">
      <alignment wrapText="1"/>
    </xf>
    <xf numFmtId="0" fontId="1" fillId="0" borderId="0" xfId="0" applyFont="1" applyFill="1" applyAlignment="1">
      <alignment horizontal="center" wrapText="1"/>
    </xf>
    <xf numFmtId="0" fontId="7" fillId="3" borderId="0" xfId="0" applyFont="1" applyFill="1" applyAlignment="1">
      <alignment vertical="center" wrapText="1"/>
    </xf>
    <xf numFmtId="0" fontId="1" fillId="0" borderId="0" xfId="0" applyFont="1" applyAlignment="1">
      <alignment vertical="center" wrapText="1"/>
    </xf>
    <xf numFmtId="0" fontId="0" fillId="0" borderId="0" xfId="0" applyAlignment="1">
      <alignment wrapText="1"/>
    </xf>
    <xf numFmtId="0" fontId="0" fillId="3" borderId="0" xfId="0" applyFont="1" applyFill="1" applyAlignment="1">
      <alignment horizontal="center" wrapText="1"/>
    </xf>
    <xf numFmtId="0" fontId="0" fillId="3" borderId="0" xfId="0" applyFont="1" applyFill="1" applyAlignment="1">
      <alignment wrapText="1"/>
    </xf>
    <xf numFmtId="0" fontId="1" fillId="3" borderId="48" xfId="0" applyFont="1" applyFill="1" applyBorder="1" applyAlignment="1">
      <alignment horizontal="center" wrapText="1"/>
    </xf>
    <xf numFmtId="0" fontId="0" fillId="3" borderId="0" xfId="0" applyFont="1" applyFill="1" applyAlignment="1">
      <alignment horizontal="center"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auto="1"/>
      </font>
      <fill>
        <patternFill patternType="solid">
          <bgColor rgb="FFCCFFCC"/>
        </patternFill>
      </fill>
      <border>
        <left>
          <color rgb="FF000000"/>
        </left>
        <right>
          <color rgb="FF000000"/>
        </right>
        <top>
          <color rgb="FF000000"/>
        </top>
        <bottom>
          <color rgb="FF000000"/>
        </bottom>
      </border>
    </dxf>
    <dxf>
      <font>
        <b/>
        <i val="0"/>
        <color auto="1"/>
      </font>
      <fill>
        <patternFill patternType="solid">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
          <c:y val="0.0275"/>
          <c:w val="0.85625"/>
          <c:h val="0.901"/>
        </c:manualLayout>
      </c:layout>
      <c:scatterChart>
        <c:scatterStyle val="smooth"/>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powercurve!$N$2:$N$52</c:f>
              <c:numCache/>
            </c:numRef>
          </c:xVal>
          <c:yVal>
            <c:numRef>
              <c:f>powercurve!$AD$2:$AD$52</c:f>
              <c:numCache/>
            </c:numRef>
          </c:yVal>
          <c:smooth val="1"/>
        </c:ser>
        <c:axId val="18221362"/>
        <c:axId val="29774531"/>
      </c:scatterChart>
      <c:valAx>
        <c:axId val="18221362"/>
        <c:scaling>
          <c:orientation val="minMax"/>
          <c:max val="10"/>
          <c:min val="4"/>
        </c:scaling>
        <c:axPos val="b"/>
        <c:title>
          <c:tx>
            <c:rich>
              <a:bodyPr vert="horz" rot="0" anchor="ctr"/>
              <a:lstStyle/>
              <a:p>
                <a:pPr algn="ctr">
                  <a:defRPr/>
                </a:pPr>
                <a:r>
                  <a:rPr lang="en-US" cap="none" sz="1025" b="1" i="0" u="none" baseline="0">
                    <a:latin typeface="Arial"/>
                    <a:ea typeface="Arial"/>
                    <a:cs typeface="Arial"/>
                  </a:rPr>
                  <a:t>Alternate Mean</a:t>
                </a:r>
              </a:p>
            </c:rich>
          </c:tx>
          <c:layout/>
          <c:overlay val="0"/>
          <c:spPr>
            <a:noFill/>
            <a:ln>
              <a:noFill/>
            </a:ln>
          </c:spPr>
        </c:title>
        <c:delete val="0"/>
        <c:numFmt formatCode="General" sourceLinked="1"/>
        <c:majorTickMark val="out"/>
        <c:minorTickMark val="none"/>
        <c:tickLblPos val="nextTo"/>
        <c:crossAx val="29774531"/>
        <c:crosses val="autoZero"/>
        <c:crossBetween val="midCat"/>
        <c:dispUnits/>
      </c:valAx>
      <c:valAx>
        <c:axId val="29774531"/>
        <c:scaling>
          <c:orientation val="minMax"/>
          <c:max val="1"/>
        </c:scaling>
        <c:axPos val="l"/>
        <c:title>
          <c:tx>
            <c:rich>
              <a:bodyPr vert="horz" rot="0" anchor="ctr"/>
              <a:lstStyle/>
              <a:p>
                <a:pPr algn="ctr">
                  <a:defRPr/>
                </a:pPr>
                <a:r>
                  <a:rPr lang="en-US" cap="none" sz="1025" b="1" i="0" u="none" baseline="0">
                    <a:latin typeface="Arial"/>
                    <a:ea typeface="Arial"/>
                    <a:cs typeface="Arial"/>
                  </a:rPr>
                  <a:t>Percent
Power</a:t>
                </a:r>
              </a:p>
            </c:rich>
          </c:tx>
          <c:layout>
            <c:manualLayout>
              <c:xMode val="factor"/>
              <c:yMode val="factor"/>
              <c:x val="-0.01025"/>
              <c:y val="-0.005"/>
            </c:manualLayout>
          </c:layout>
          <c:overlay val="0"/>
          <c:spPr>
            <a:noFill/>
            <a:ln>
              <a:noFill/>
            </a:ln>
          </c:spPr>
        </c:title>
        <c:majorGridlines/>
        <c:delete val="0"/>
        <c:numFmt formatCode="General" sourceLinked="1"/>
        <c:majorTickMark val="out"/>
        <c:minorTickMark val="none"/>
        <c:tickLblPos val="nextTo"/>
        <c:crossAx val="1822136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75"/>
          <c:w val="0.9535"/>
          <c:h val="0.94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'variation-mean'!$B$4:$B$103</c:f>
              <c:numCache/>
            </c:numRef>
          </c:xVal>
          <c:yVal>
            <c:numRef>
              <c:f>'variation-mean'!$R$4:$R$103</c:f>
              <c:numCache/>
            </c:numRef>
          </c:yVal>
          <c:smooth val="0"/>
        </c:ser>
        <c:axId val="66644188"/>
        <c:axId val="62926781"/>
      </c:scatterChart>
      <c:valAx>
        <c:axId val="66644188"/>
        <c:scaling>
          <c:orientation val="minMax"/>
          <c:max val="15"/>
          <c:min val="0"/>
        </c:scaling>
        <c:axPos val="b"/>
        <c:delete val="0"/>
        <c:numFmt formatCode="General" sourceLinked="1"/>
        <c:majorTickMark val="out"/>
        <c:minorTickMark val="none"/>
        <c:tickLblPos val="nextTo"/>
        <c:crossAx val="62926781"/>
        <c:crosses val="autoZero"/>
        <c:crossBetween val="midCat"/>
        <c:dispUnits/>
      </c:valAx>
      <c:valAx>
        <c:axId val="62926781"/>
        <c:scaling>
          <c:orientation val="minMax"/>
          <c:max val="125"/>
          <c:min val="0"/>
        </c:scaling>
        <c:axPos val="l"/>
        <c:delete val="0"/>
        <c:numFmt formatCode="General" sourceLinked="1"/>
        <c:majorTickMark val="out"/>
        <c:minorTickMark val="none"/>
        <c:tickLblPos val="nextTo"/>
        <c:crossAx val="6664418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075"/>
          <c:w val="0.97275"/>
          <c:h val="0.93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'variation-mean'!$B$4:$B$103</c:f>
              <c:numCache/>
            </c:numRef>
          </c:xVal>
          <c:yVal>
            <c:numRef>
              <c:f>'variation-mean'!$Q$4:$Q$103</c:f>
              <c:numCache/>
            </c:numRef>
          </c:yVal>
          <c:smooth val="0"/>
        </c:ser>
        <c:axId val="29470118"/>
        <c:axId val="63904471"/>
      </c:scatterChart>
      <c:valAx>
        <c:axId val="29470118"/>
        <c:scaling>
          <c:orientation val="minMax"/>
          <c:max val="20"/>
          <c:min val="0"/>
        </c:scaling>
        <c:axPos val="b"/>
        <c:delete val="0"/>
        <c:numFmt formatCode="General" sourceLinked="1"/>
        <c:majorTickMark val="out"/>
        <c:minorTickMark val="none"/>
        <c:tickLblPos val="nextTo"/>
        <c:crossAx val="63904471"/>
        <c:crosses val="autoZero"/>
        <c:crossBetween val="midCat"/>
        <c:dispUnits/>
      </c:valAx>
      <c:valAx>
        <c:axId val="63904471"/>
        <c:scaling>
          <c:orientation val="minMax"/>
          <c:max val="12"/>
          <c:min val="0"/>
        </c:scaling>
        <c:axPos val="l"/>
        <c:delete val="0"/>
        <c:numFmt formatCode="General" sourceLinked="1"/>
        <c:majorTickMark val="out"/>
        <c:minorTickMark val="none"/>
        <c:tickLblPos val="nextTo"/>
        <c:crossAx val="2947011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3675"/>
          <c:w val="0.95975"/>
          <c:h val="0.92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correlation!$R$4:$R$43</c:f>
              <c:numCache/>
            </c:numRef>
          </c:xVal>
          <c:yVal>
            <c:numRef>
              <c:f>correlation!$T$4:$T$43</c:f>
              <c:numCache/>
            </c:numRef>
          </c:yVal>
          <c:smooth val="0"/>
        </c:ser>
        <c:ser>
          <c:idx val="3"/>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dPt>
            <c:idx val="1"/>
            <c:spPr>
              <a:ln w="38100">
                <a:solidFill>
                  <a:srgbClr val="FF0000"/>
                </a:solidFill>
              </a:ln>
            </c:spPr>
            <c:marker>
              <c:symbol val="none"/>
            </c:marker>
          </c:dPt>
          <c:xVal>
            <c:numRef>
              <c:f>correlation!$W$6:$X$6</c:f>
              <c:numCache/>
            </c:numRef>
          </c:xVal>
          <c:yVal>
            <c:numRef>
              <c:f>correlation!$W$8:$X$8</c:f>
              <c:numCache/>
            </c:numRef>
          </c:yVal>
          <c:smooth val="0"/>
        </c:ser>
        <c:axId val="38269328"/>
        <c:axId val="8879633"/>
      </c:scatterChart>
      <c:valAx>
        <c:axId val="38269328"/>
        <c:scaling>
          <c:orientation val="minMax"/>
          <c:max val="16"/>
          <c:min val="4"/>
        </c:scaling>
        <c:axPos val="b"/>
        <c:delete val="0"/>
        <c:numFmt formatCode="General" sourceLinked="1"/>
        <c:majorTickMark val="out"/>
        <c:minorTickMark val="none"/>
        <c:tickLblPos val="nextTo"/>
        <c:crossAx val="8879633"/>
        <c:crosses val="autoZero"/>
        <c:crossBetween val="midCat"/>
        <c:dispUnits/>
      </c:valAx>
      <c:valAx>
        <c:axId val="8879633"/>
        <c:scaling>
          <c:orientation val="minMax"/>
          <c:max val="16"/>
          <c:min val="4"/>
        </c:scaling>
        <c:axPos val="l"/>
        <c:delete val="0"/>
        <c:numFmt formatCode="General" sourceLinked="1"/>
        <c:majorTickMark val="out"/>
        <c:minorTickMark val="none"/>
        <c:tickLblPos val="nextTo"/>
        <c:crossAx val="3826932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3925"/>
          <c:w val="0.956"/>
          <c:h val="0.9355"/>
        </c:manualLayout>
      </c:layout>
      <c:scatterChart>
        <c:scatterStyle val="smooth"/>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graphs!$V$3:$V$202</c:f>
              <c:numCache/>
            </c:numRef>
          </c:xVal>
          <c:yVal>
            <c:numRef>
              <c:f>graphs!$W$3:$W$202</c:f>
              <c:numCache/>
            </c:numRef>
          </c:yVal>
          <c:smooth val="1"/>
        </c:ser>
        <c:ser>
          <c:idx val="1"/>
          <c:order val="1"/>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graphs!$V$3:$V$202</c:f>
              <c:numCache/>
            </c:numRef>
          </c:xVal>
          <c:yVal>
            <c:numRef>
              <c:f>graphs!$X$3:$X$202</c:f>
              <c:numCache/>
            </c:numRef>
          </c:yVal>
          <c:smooth val="1"/>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graphs!$T$17:$T$18</c:f>
              <c:numCache/>
            </c:numRef>
          </c:xVal>
          <c:yVal>
            <c:numRef>
              <c:f>graphs!$U$17:$U$18</c:f>
              <c:numCache/>
            </c:numRef>
          </c:yVal>
          <c:smooth val="1"/>
        </c:ser>
        <c:axId val="12807834"/>
        <c:axId val="48161643"/>
      </c:scatterChart>
      <c:valAx>
        <c:axId val="12807834"/>
        <c:scaling>
          <c:orientation val="minMax"/>
        </c:scaling>
        <c:axPos val="b"/>
        <c:delete val="0"/>
        <c:numFmt formatCode="0.0" sourceLinked="0"/>
        <c:majorTickMark val="out"/>
        <c:minorTickMark val="none"/>
        <c:tickLblPos val="nextTo"/>
        <c:crossAx val="48161643"/>
        <c:crosses val="autoZero"/>
        <c:crossBetween val="midCat"/>
        <c:dispUnits/>
      </c:valAx>
      <c:valAx>
        <c:axId val="48161643"/>
        <c:scaling>
          <c:orientation val="minMax"/>
        </c:scaling>
        <c:axPos val="l"/>
        <c:delete val="1"/>
        <c:majorTickMark val="out"/>
        <c:minorTickMark val="none"/>
        <c:tickLblPos val="nextTo"/>
        <c:crossAx val="1280783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445"/>
          <c:w val="0.95825"/>
          <c:h val="0.89525"/>
        </c:manualLayout>
      </c:layout>
      <c:scatterChart>
        <c:scatterStyle val="smooth"/>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graphs!$Q$3:$Q$202</c:f>
              <c:numCache/>
            </c:numRef>
          </c:xVal>
          <c:yVal>
            <c:numRef>
              <c:f>graphs!$R$3:$R$202</c:f>
              <c:numCache/>
            </c:numRef>
          </c:yVal>
          <c:smooth val="1"/>
        </c:ser>
        <c:ser>
          <c:idx val="1"/>
          <c:order val="1"/>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graphs!$Q$3:$Q$202</c:f>
              <c:numCache/>
            </c:numRef>
          </c:xVal>
          <c:yVal>
            <c:numRef>
              <c:f>graphs!$S$3:$S$202</c:f>
              <c:numCache/>
            </c:numRef>
          </c:yVal>
          <c:smooth val="1"/>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graphs!$O$17:$O$18</c:f>
              <c:numCache/>
            </c:numRef>
          </c:xVal>
          <c:yVal>
            <c:numRef>
              <c:f>graphs!$P$17:$P$18</c:f>
              <c:numCache/>
            </c:numRef>
          </c:yVal>
          <c:smooth val="1"/>
        </c:ser>
        <c:axId val="30801604"/>
        <c:axId val="8778981"/>
      </c:scatterChart>
      <c:valAx>
        <c:axId val="30801604"/>
        <c:scaling>
          <c:orientation val="minMax"/>
        </c:scaling>
        <c:axPos val="b"/>
        <c:delete val="0"/>
        <c:numFmt formatCode="0.0" sourceLinked="0"/>
        <c:majorTickMark val="out"/>
        <c:minorTickMark val="none"/>
        <c:tickLblPos val="nextTo"/>
        <c:crossAx val="8778981"/>
        <c:crosses val="autoZero"/>
        <c:crossBetween val="midCat"/>
        <c:dispUnits/>
      </c:valAx>
      <c:valAx>
        <c:axId val="8778981"/>
        <c:scaling>
          <c:orientation val="minMax"/>
        </c:scaling>
        <c:axPos val="l"/>
        <c:delete val="1"/>
        <c:majorTickMark val="out"/>
        <c:minorTickMark val="none"/>
        <c:tickLblPos val="nextTo"/>
        <c:crossAx val="3080160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4.emf" /><Relationship Id="rId3" Type="http://schemas.openxmlformats.org/officeDocument/2006/relationships/image" Target="../media/image42.emf" /><Relationship Id="rId4" Type="http://schemas.openxmlformats.org/officeDocument/2006/relationships/image" Target="../media/image16.emf" /><Relationship Id="rId5" Type="http://schemas.openxmlformats.org/officeDocument/2006/relationships/image" Target="../media/image5.emf" /><Relationship Id="rId6" Type="http://schemas.openxmlformats.org/officeDocument/2006/relationships/image" Target="../media/image10.emf" /><Relationship Id="rId7" Type="http://schemas.openxmlformats.org/officeDocument/2006/relationships/image" Target="../media/image28.emf" /><Relationship Id="rId8" Type="http://schemas.openxmlformats.org/officeDocument/2006/relationships/image" Target="../media/image25.emf" /><Relationship Id="rId9" Type="http://schemas.openxmlformats.org/officeDocument/2006/relationships/image" Target="../media/image43.emf" /><Relationship Id="rId10" Type="http://schemas.openxmlformats.org/officeDocument/2006/relationships/image" Target="../media/image21.emf" /><Relationship Id="rId11" Type="http://schemas.openxmlformats.org/officeDocument/2006/relationships/image" Target="../media/image27.emf" /><Relationship Id="rId12" Type="http://schemas.openxmlformats.org/officeDocument/2006/relationships/image" Target="../media/image29.emf" /><Relationship Id="rId13" Type="http://schemas.openxmlformats.org/officeDocument/2006/relationships/image" Target="../media/image33.emf" /><Relationship Id="rId14" Type="http://schemas.openxmlformats.org/officeDocument/2006/relationships/image" Target="../media/image35.emf" /><Relationship Id="rId15" Type="http://schemas.openxmlformats.org/officeDocument/2006/relationships/image" Target="../media/image39.emf" /><Relationship Id="rId16" Type="http://schemas.openxmlformats.org/officeDocument/2006/relationships/image" Target="../media/image40.emf" /><Relationship Id="rId17" Type="http://schemas.openxmlformats.org/officeDocument/2006/relationships/image" Target="../media/image38.emf" /><Relationship Id="rId18" Type="http://schemas.openxmlformats.org/officeDocument/2006/relationships/image" Target="../media/image19.emf" /><Relationship Id="rId19" Type="http://schemas.openxmlformats.org/officeDocument/2006/relationships/image" Target="../media/image9.emf" /><Relationship Id="rId20" Type="http://schemas.openxmlformats.org/officeDocument/2006/relationships/image" Target="../media/image41.emf" /><Relationship Id="rId21" Type="http://schemas.openxmlformats.org/officeDocument/2006/relationships/image" Target="../media/image3.emf" /><Relationship Id="rId22" Type="http://schemas.openxmlformats.org/officeDocument/2006/relationships/image" Target="../media/image17.emf" /><Relationship Id="rId23" Type="http://schemas.openxmlformats.org/officeDocument/2006/relationships/image" Target="../media/image14.emf" /><Relationship Id="rId24" Type="http://schemas.openxmlformats.org/officeDocument/2006/relationships/image" Target="../media/image2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30.emf" /><Relationship Id="rId3"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8.emf" /><Relationship Id="rId3" Type="http://schemas.openxmlformats.org/officeDocument/2006/relationships/image" Target="../media/image4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7.emf" /><Relationship Id="rId4" Type="http://schemas.openxmlformats.org/officeDocument/2006/relationships/image" Target="../media/image36.emf" /><Relationship Id="rId5" Type="http://schemas.openxmlformats.org/officeDocument/2006/relationships/image" Target="../media/image8.emf" /><Relationship Id="rId6" Type="http://schemas.openxmlformats.org/officeDocument/2006/relationships/image" Target="../media/image45.emf" /><Relationship Id="rId7" Type="http://schemas.openxmlformats.org/officeDocument/2006/relationships/image" Target="../media/image12.emf" /><Relationship Id="rId8" Type="http://schemas.openxmlformats.org/officeDocument/2006/relationships/image" Target="../media/image13.emf" /><Relationship Id="rId9" Type="http://schemas.openxmlformats.org/officeDocument/2006/relationships/image" Target="../media/image26.emf" /><Relationship Id="rId10" Type="http://schemas.openxmlformats.org/officeDocument/2006/relationships/image" Target="../media/image31.emf" /><Relationship Id="rId1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32.emf" /><Relationship Id="rId3"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24.emf" /><Relationship Id="rId4" Type="http://schemas.openxmlformats.org/officeDocument/2006/relationships/image" Target="../media/image20.emf"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1.emf" /></Relationships>
</file>

<file path=xl/drawings/_rels/drawing8.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1019175</xdr:colOff>
      <xdr:row>1</xdr:row>
      <xdr:rowOff>0</xdr:rowOff>
    </xdr:from>
    <xdr:to>
      <xdr:col>3</xdr:col>
      <xdr:colOff>180975</xdr:colOff>
      <xdr:row>1</xdr:row>
      <xdr:rowOff>180975</xdr:rowOff>
    </xdr:to>
    <xdr:pic>
      <xdr:nvPicPr>
        <xdr:cNvPr id="1" name="ScrollBar1"/>
        <xdr:cNvPicPr preferRelativeResize="1">
          <a:picLocks noChangeAspect="1"/>
        </xdr:cNvPicPr>
      </xdr:nvPicPr>
      <xdr:blipFill>
        <a:blip r:embed="rId1"/>
        <a:stretch>
          <a:fillRect/>
        </a:stretch>
      </xdr:blipFill>
      <xdr:spPr>
        <a:xfrm>
          <a:off x="1133475" y="190500"/>
          <a:ext cx="952500" cy="180975"/>
        </a:xfrm>
        <a:prstGeom prst="rect">
          <a:avLst/>
        </a:prstGeom>
        <a:noFill/>
        <a:ln w="9525" cmpd="sng">
          <a:noFill/>
        </a:ln>
      </xdr:spPr>
    </xdr:pic>
    <xdr:clientData/>
  </xdr:twoCellAnchor>
  <xdr:twoCellAnchor editAs="oneCell">
    <xdr:from>
      <xdr:col>10</xdr:col>
      <xdr:colOff>390525</xdr:colOff>
      <xdr:row>23</xdr:row>
      <xdr:rowOff>28575</xdr:rowOff>
    </xdr:from>
    <xdr:to>
      <xdr:col>11</xdr:col>
      <xdr:colOff>561975</xdr:colOff>
      <xdr:row>24</xdr:row>
      <xdr:rowOff>104775</xdr:rowOff>
    </xdr:to>
    <xdr:pic>
      <xdr:nvPicPr>
        <xdr:cNvPr id="2" name="ScrollBar2"/>
        <xdr:cNvPicPr preferRelativeResize="1">
          <a:picLocks noChangeAspect="1"/>
        </xdr:cNvPicPr>
      </xdr:nvPicPr>
      <xdr:blipFill>
        <a:blip r:embed="rId2"/>
        <a:stretch>
          <a:fillRect/>
        </a:stretch>
      </xdr:blipFill>
      <xdr:spPr>
        <a:xfrm>
          <a:off x="5562600" y="3914775"/>
          <a:ext cx="1152525" cy="238125"/>
        </a:xfrm>
        <a:prstGeom prst="rect">
          <a:avLst/>
        </a:prstGeom>
        <a:noFill/>
        <a:ln w="9525" cmpd="sng">
          <a:noFill/>
        </a:ln>
      </xdr:spPr>
    </xdr:pic>
    <xdr:clientData/>
  </xdr:twoCellAnchor>
  <xdr:twoCellAnchor editAs="oneCell">
    <xdr:from>
      <xdr:col>1</xdr:col>
      <xdr:colOff>866775</xdr:colOff>
      <xdr:row>8</xdr:row>
      <xdr:rowOff>133350</xdr:rowOff>
    </xdr:from>
    <xdr:to>
      <xdr:col>3</xdr:col>
      <xdr:colOff>247650</xdr:colOff>
      <xdr:row>10</xdr:row>
      <xdr:rowOff>38100</xdr:rowOff>
    </xdr:to>
    <xdr:pic>
      <xdr:nvPicPr>
        <xdr:cNvPr id="3" name="ToggleButton1"/>
        <xdr:cNvPicPr preferRelativeResize="1">
          <a:picLocks noChangeAspect="1"/>
        </xdr:cNvPicPr>
      </xdr:nvPicPr>
      <xdr:blipFill>
        <a:blip r:embed="rId3"/>
        <a:stretch>
          <a:fillRect/>
        </a:stretch>
      </xdr:blipFill>
      <xdr:spPr>
        <a:xfrm>
          <a:off x="981075" y="1514475"/>
          <a:ext cx="1171575" cy="247650"/>
        </a:xfrm>
        <a:prstGeom prst="rect">
          <a:avLst/>
        </a:prstGeom>
        <a:noFill/>
        <a:ln w="9525" cmpd="sng">
          <a:noFill/>
        </a:ln>
      </xdr:spPr>
    </xdr:pic>
    <xdr:clientData/>
  </xdr:twoCellAnchor>
  <xdr:twoCellAnchor editAs="oneCell">
    <xdr:from>
      <xdr:col>1</xdr:col>
      <xdr:colOff>942975</xdr:colOff>
      <xdr:row>14</xdr:row>
      <xdr:rowOff>104775</xdr:rowOff>
    </xdr:from>
    <xdr:to>
      <xdr:col>3</xdr:col>
      <xdr:colOff>238125</xdr:colOff>
      <xdr:row>16</xdr:row>
      <xdr:rowOff>0</xdr:rowOff>
    </xdr:to>
    <xdr:pic>
      <xdr:nvPicPr>
        <xdr:cNvPr id="4" name="ScrollBar3"/>
        <xdr:cNvPicPr preferRelativeResize="1">
          <a:picLocks noChangeAspect="1"/>
        </xdr:cNvPicPr>
      </xdr:nvPicPr>
      <xdr:blipFill>
        <a:blip r:embed="rId4"/>
        <a:stretch>
          <a:fillRect/>
        </a:stretch>
      </xdr:blipFill>
      <xdr:spPr>
        <a:xfrm>
          <a:off x="1057275" y="2514600"/>
          <a:ext cx="1085850" cy="238125"/>
        </a:xfrm>
        <a:prstGeom prst="rect">
          <a:avLst/>
        </a:prstGeom>
        <a:noFill/>
        <a:ln w="9525" cmpd="sng">
          <a:noFill/>
        </a:ln>
      </xdr:spPr>
    </xdr:pic>
    <xdr:clientData/>
  </xdr:twoCellAnchor>
  <xdr:twoCellAnchor editAs="oneCell">
    <xdr:from>
      <xdr:col>6</xdr:col>
      <xdr:colOff>371475</xdr:colOff>
      <xdr:row>20</xdr:row>
      <xdr:rowOff>19050</xdr:rowOff>
    </xdr:from>
    <xdr:to>
      <xdr:col>8</xdr:col>
      <xdr:colOff>390525</xdr:colOff>
      <xdr:row>21</xdr:row>
      <xdr:rowOff>38100</xdr:rowOff>
    </xdr:to>
    <xdr:pic>
      <xdr:nvPicPr>
        <xdr:cNvPr id="5" name="ScrollBar4"/>
        <xdr:cNvPicPr preferRelativeResize="1">
          <a:picLocks noChangeAspect="1"/>
        </xdr:cNvPicPr>
      </xdr:nvPicPr>
      <xdr:blipFill>
        <a:blip r:embed="rId5"/>
        <a:stretch>
          <a:fillRect/>
        </a:stretch>
      </xdr:blipFill>
      <xdr:spPr>
        <a:xfrm>
          <a:off x="4019550" y="3419475"/>
          <a:ext cx="914400" cy="180975"/>
        </a:xfrm>
        <a:prstGeom prst="rect">
          <a:avLst/>
        </a:prstGeom>
        <a:noFill/>
        <a:ln w="9525" cmpd="sng">
          <a:noFill/>
        </a:ln>
      </xdr:spPr>
    </xdr:pic>
    <xdr:clientData/>
  </xdr:twoCellAnchor>
  <xdr:twoCellAnchor editAs="oneCell">
    <xdr:from>
      <xdr:col>1</xdr:col>
      <xdr:colOff>914400</xdr:colOff>
      <xdr:row>3</xdr:row>
      <xdr:rowOff>123825</xdr:rowOff>
    </xdr:from>
    <xdr:to>
      <xdr:col>3</xdr:col>
      <xdr:colOff>161925</xdr:colOff>
      <xdr:row>5</xdr:row>
      <xdr:rowOff>38100</xdr:rowOff>
    </xdr:to>
    <xdr:pic>
      <xdr:nvPicPr>
        <xdr:cNvPr id="6" name="ToggleButton4"/>
        <xdr:cNvPicPr preferRelativeResize="1">
          <a:picLocks noChangeAspect="1"/>
        </xdr:cNvPicPr>
      </xdr:nvPicPr>
      <xdr:blipFill>
        <a:blip r:embed="rId6"/>
        <a:stretch>
          <a:fillRect/>
        </a:stretch>
      </xdr:blipFill>
      <xdr:spPr>
        <a:xfrm>
          <a:off x="1028700" y="676275"/>
          <a:ext cx="1038225" cy="247650"/>
        </a:xfrm>
        <a:prstGeom prst="rect">
          <a:avLst/>
        </a:prstGeom>
        <a:noFill/>
        <a:ln w="9525" cmpd="sng">
          <a:noFill/>
        </a:ln>
      </xdr:spPr>
    </xdr:pic>
    <xdr:clientData/>
  </xdr:twoCellAnchor>
  <xdr:twoCellAnchor editAs="oneCell">
    <xdr:from>
      <xdr:col>2</xdr:col>
      <xdr:colOff>200025</xdr:colOff>
      <xdr:row>23</xdr:row>
      <xdr:rowOff>19050</xdr:rowOff>
    </xdr:from>
    <xdr:to>
      <xdr:col>3</xdr:col>
      <xdr:colOff>85725</xdr:colOff>
      <xdr:row>25</xdr:row>
      <xdr:rowOff>19050</xdr:rowOff>
    </xdr:to>
    <xdr:pic>
      <xdr:nvPicPr>
        <xdr:cNvPr id="7" name="SpinButton1"/>
        <xdr:cNvPicPr preferRelativeResize="1">
          <a:picLocks noChangeAspect="1"/>
        </xdr:cNvPicPr>
      </xdr:nvPicPr>
      <xdr:blipFill>
        <a:blip r:embed="rId7"/>
        <a:stretch>
          <a:fillRect/>
        </a:stretch>
      </xdr:blipFill>
      <xdr:spPr>
        <a:xfrm>
          <a:off x="1457325" y="3905250"/>
          <a:ext cx="533400" cy="323850"/>
        </a:xfrm>
        <a:prstGeom prst="rect">
          <a:avLst/>
        </a:prstGeom>
        <a:noFill/>
        <a:ln w="9525" cmpd="sng">
          <a:noFill/>
        </a:ln>
      </xdr:spPr>
    </xdr:pic>
    <xdr:clientData/>
  </xdr:twoCellAnchor>
  <xdr:twoCellAnchor editAs="oneCell">
    <xdr:from>
      <xdr:col>1</xdr:col>
      <xdr:colOff>600075</xdr:colOff>
      <xdr:row>5</xdr:row>
      <xdr:rowOff>57150</xdr:rowOff>
    </xdr:from>
    <xdr:to>
      <xdr:col>2</xdr:col>
      <xdr:colOff>485775</xdr:colOff>
      <xdr:row>7</xdr:row>
      <xdr:rowOff>66675</xdr:rowOff>
    </xdr:to>
    <xdr:pic>
      <xdr:nvPicPr>
        <xdr:cNvPr id="8" name="CommandButton2"/>
        <xdr:cNvPicPr preferRelativeResize="1">
          <a:picLocks noChangeAspect="1"/>
        </xdr:cNvPicPr>
      </xdr:nvPicPr>
      <xdr:blipFill>
        <a:blip r:embed="rId8"/>
        <a:stretch>
          <a:fillRect/>
        </a:stretch>
      </xdr:blipFill>
      <xdr:spPr>
        <a:xfrm>
          <a:off x="714375" y="942975"/>
          <a:ext cx="1028700" cy="333375"/>
        </a:xfrm>
        <a:prstGeom prst="rect">
          <a:avLst/>
        </a:prstGeom>
        <a:noFill/>
        <a:ln w="9525" cmpd="sng">
          <a:noFill/>
        </a:ln>
      </xdr:spPr>
    </xdr:pic>
    <xdr:clientData/>
  </xdr:twoCellAnchor>
  <xdr:twoCellAnchor editAs="oneCell">
    <xdr:from>
      <xdr:col>1</xdr:col>
      <xdr:colOff>104775</xdr:colOff>
      <xdr:row>14</xdr:row>
      <xdr:rowOff>47625</xdr:rowOff>
    </xdr:from>
    <xdr:to>
      <xdr:col>1</xdr:col>
      <xdr:colOff>895350</xdr:colOff>
      <xdr:row>16</xdr:row>
      <xdr:rowOff>123825</xdr:rowOff>
    </xdr:to>
    <xdr:pic>
      <xdr:nvPicPr>
        <xdr:cNvPr id="9" name="CommandButton3"/>
        <xdr:cNvPicPr preferRelativeResize="1">
          <a:picLocks noChangeAspect="1"/>
        </xdr:cNvPicPr>
      </xdr:nvPicPr>
      <xdr:blipFill>
        <a:blip r:embed="rId9"/>
        <a:stretch>
          <a:fillRect/>
        </a:stretch>
      </xdr:blipFill>
      <xdr:spPr>
        <a:xfrm>
          <a:off x="219075" y="2457450"/>
          <a:ext cx="790575" cy="419100"/>
        </a:xfrm>
        <a:prstGeom prst="rect">
          <a:avLst/>
        </a:prstGeom>
        <a:noFill/>
        <a:ln w="9525" cmpd="sng">
          <a:noFill/>
        </a:ln>
      </xdr:spPr>
    </xdr:pic>
    <xdr:clientData/>
  </xdr:twoCellAnchor>
  <xdr:twoCellAnchor editAs="oneCell">
    <xdr:from>
      <xdr:col>5</xdr:col>
      <xdr:colOff>76200</xdr:colOff>
      <xdr:row>15</xdr:row>
      <xdr:rowOff>104775</xdr:rowOff>
    </xdr:from>
    <xdr:to>
      <xdr:col>5</xdr:col>
      <xdr:colOff>914400</xdr:colOff>
      <xdr:row>19</xdr:row>
      <xdr:rowOff>57150</xdr:rowOff>
    </xdr:to>
    <xdr:pic>
      <xdr:nvPicPr>
        <xdr:cNvPr id="10" name="CommandButton4"/>
        <xdr:cNvPicPr preferRelativeResize="1">
          <a:picLocks noChangeAspect="1"/>
        </xdr:cNvPicPr>
      </xdr:nvPicPr>
      <xdr:blipFill>
        <a:blip r:embed="rId10"/>
        <a:stretch>
          <a:fillRect/>
        </a:stretch>
      </xdr:blipFill>
      <xdr:spPr>
        <a:xfrm>
          <a:off x="2743200" y="2686050"/>
          <a:ext cx="838200" cy="609600"/>
        </a:xfrm>
        <a:prstGeom prst="rect">
          <a:avLst/>
        </a:prstGeom>
        <a:noFill/>
        <a:ln w="9525" cmpd="sng">
          <a:noFill/>
        </a:ln>
      </xdr:spPr>
    </xdr:pic>
    <xdr:clientData/>
  </xdr:twoCellAnchor>
  <xdr:twoCellAnchor editAs="oneCell">
    <xdr:from>
      <xdr:col>1</xdr:col>
      <xdr:colOff>95250</xdr:colOff>
      <xdr:row>17</xdr:row>
      <xdr:rowOff>66675</xdr:rowOff>
    </xdr:from>
    <xdr:to>
      <xdr:col>1</xdr:col>
      <xdr:colOff>1028700</xdr:colOff>
      <xdr:row>20</xdr:row>
      <xdr:rowOff>66675</xdr:rowOff>
    </xdr:to>
    <xdr:pic>
      <xdr:nvPicPr>
        <xdr:cNvPr id="11" name="CommandButton6"/>
        <xdr:cNvPicPr preferRelativeResize="1">
          <a:picLocks noChangeAspect="1"/>
        </xdr:cNvPicPr>
      </xdr:nvPicPr>
      <xdr:blipFill>
        <a:blip r:embed="rId11"/>
        <a:stretch>
          <a:fillRect/>
        </a:stretch>
      </xdr:blipFill>
      <xdr:spPr>
        <a:xfrm>
          <a:off x="209550" y="2981325"/>
          <a:ext cx="933450" cy="485775"/>
        </a:xfrm>
        <a:prstGeom prst="rect">
          <a:avLst/>
        </a:prstGeom>
        <a:noFill/>
        <a:ln w="9525" cmpd="sng">
          <a:noFill/>
        </a:ln>
      </xdr:spPr>
    </xdr:pic>
    <xdr:clientData/>
  </xdr:twoCellAnchor>
  <xdr:twoCellAnchor editAs="oneCell">
    <xdr:from>
      <xdr:col>9</xdr:col>
      <xdr:colOff>19050</xdr:colOff>
      <xdr:row>16</xdr:row>
      <xdr:rowOff>57150</xdr:rowOff>
    </xdr:from>
    <xdr:to>
      <xdr:col>10</xdr:col>
      <xdr:colOff>371475</xdr:colOff>
      <xdr:row>18</xdr:row>
      <xdr:rowOff>28575</xdr:rowOff>
    </xdr:to>
    <xdr:pic>
      <xdr:nvPicPr>
        <xdr:cNvPr id="12" name="SpinButton2"/>
        <xdr:cNvPicPr preferRelativeResize="1">
          <a:picLocks noChangeAspect="1"/>
        </xdr:cNvPicPr>
      </xdr:nvPicPr>
      <xdr:blipFill>
        <a:blip r:embed="rId12"/>
        <a:stretch>
          <a:fillRect/>
        </a:stretch>
      </xdr:blipFill>
      <xdr:spPr>
        <a:xfrm>
          <a:off x="5010150" y="2809875"/>
          <a:ext cx="533400" cy="295275"/>
        </a:xfrm>
        <a:prstGeom prst="rect">
          <a:avLst/>
        </a:prstGeom>
        <a:noFill/>
        <a:ln w="9525" cmpd="sng">
          <a:noFill/>
        </a:ln>
      </xdr:spPr>
    </xdr:pic>
    <xdr:clientData/>
  </xdr:twoCellAnchor>
  <xdr:twoCellAnchor editAs="oneCell">
    <xdr:from>
      <xdr:col>5</xdr:col>
      <xdr:colOff>447675</xdr:colOff>
      <xdr:row>23</xdr:row>
      <xdr:rowOff>9525</xdr:rowOff>
    </xdr:from>
    <xdr:to>
      <xdr:col>7</xdr:col>
      <xdr:colOff>104775</xdr:colOff>
      <xdr:row>24</xdr:row>
      <xdr:rowOff>85725</xdr:rowOff>
    </xdr:to>
    <xdr:pic>
      <xdr:nvPicPr>
        <xdr:cNvPr id="13" name="ScrollBar5"/>
        <xdr:cNvPicPr preferRelativeResize="1">
          <a:picLocks noChangeAspect="1"/>
        </xdr:cNvPicPr>
      </xdr:nvPicPr>
      <xdr:blipFill>
        <a:blip r:embed="rId13"/>
        <a:stretch>
          <a:fillRect/>
        </a:stretch>
      </xdr:blipFill>
      <xdr:spPr>
        <a:xfrm>
          <a:off x="3114675" y="3895725"/>
          <a:ext cx="1152525" cy="238125"/>
        </a:xfrm>
        <a:prstGeom prst="rect">
          <a:avLst/>
        </a:prstGeom>
        <a:noFill/>
        <a:ln w="9525" cmpd="sng">
          <a:noFill/>
        </a:ln>
      </xdr:spPr>
    </xdr:pic>
    <xdr:clientData/>
  </xdr:twoCellAnchor>
  <xdr:twoCellAnchor editAs="oneCell">
    <xdr:from>
      <xdr:col>5</xdr:col>
      <xdr:colOff>9525</xdr:colOff>
      <xdr:row>1</xdr:row>
      <xdr:rowOff>0</xdr:rowOff>
    </xdr:from>
    <xdr:to>
      <xdr:col>6</xdr:col>
      <xdr:colOff>114300</xdr:colOff>
      <xdr:row>3</xdr:row>
      <xdr:rowOff>9525</xdr:rowOff>
    </xdr:to>
    <xdr:pic>
      <xdr:nvPicPr>
        <xdr:cNvPr id="14" name="CommandButton5"/>
        <xdr:cNvPicPr preferRelativeResize="1">
          <a:picLocks noChangeAspect="1"/>
        </xdr:cNvPicPr>
      </xdr:nvPicPr>
      <xdr:blipFill>
        <a:blip r:embed="rId14"/>
        <a:stretch>
          <a:fillRect/>
        </a:stretch>
      </xdr:blipFill>
      <xdr:spPr>
        <a:xfrm>
          <a:off x="2676525" y="190500"/>
          <a:ext cx="1085850" cy="371475"/>
        </a:xfrm>
        <a:prstGeom prst="rect">
          <a:avLst/>
        </a:prstGeom>
        <a:noFill/>
        <a:ln w="9525" cmpd="sng">
          <a:noFill/>
        </a:ln>
      </xdr:spPr>
    </xdr:pic>
    <xdr:clientData/>
  </xdr:twoCellAnchor>
  <xdr:twoCellAnchor editAs="oneCell">
    <xdr:from>
      <xdr:col>10</xdr:col>
      <xdr:colOff>400050</xdr:colOff>
      <xdr:row>26</xdr:row>
      <xdr:rowOff>38100</xdr:rowOff>
    </xdr:from>
    <xdr:to>
      <xdr:col>11</xdr:col>
      <xdr:colOff>571500</xdr:colOff>
      <xdr:row>27</xdr:row>
      <xdr:rowOff>114300</xdr:rowOff>
    </xdr:to>
    <xdr:pic>
      <xdr:nvPicPr>
        <xdr:cNvPr id="15" name="ScrollBar6"/>
        <xdr:cNvPicPr preferRelativeResize="1">
          <a:picLocks noChangeAspect="1"/>
        </xdr:cNvPicPr>
      </xdr:nvPicPr>
      <xdr:blipFill>
        <a:blip r:embed="rId15"/>
        <a:stretch>
          <a:fillRect/>
        </a:stretch>
      </xdr:blipFill>
      <xdr:spPr>
        <a:xfrm>
          <a:off x="5572125" y="4410075"/>
          <a:ext cx="1152525" cy="238125"/>
        </a:xfrm>
        <a:prstGeom prst="rect">
          <a:avLst/>
        </a:prstGeom>
        <a:noFill/>
        <a:ln w="9525" cmpd="sng">
          <a:noFill/>
        </a:ln>
      </xdr:spPr>
    </xdr:pic>
    <xdr:clientData/>
  </xdr:twoCellAnchor>
  <xdr:twoCellAnchor editAs="oneCell">
    <xdr:from>
      <xdr:col>4</xdr:col>
      <xdr:colOff>257175</xdr:colOff>
      <xdr:row>12</xdr:row>
      <xdr:rowOff>161925</xdr:rowOff>
    </xdr:from>
    <xdr:to>
      <xdr:col>6</xdr:col>
      <xdr:colOff>180975</xdr:colOff>
      <xdr:row>14</xdr:row>
      <xdr:rowOff>47625</xdr:rowOff>
    </xdr:to>
    <xdr:pic>
      <xdr:nvPicPr>
        <xdr:cNvPr id="16" name="CommandButton1"/>
        <xdr:cNvPicPr preferRelativeResize="1">
          <a:picLocks noChangeAspect="1"/>
        </xdr:cNvPicPr>
      </xdr:nvPicPr>
      <xdr:blipFill>
        <a:blip r:embed="rId16"/>
        <a:stretch>
          <a:fillRect/>
        </a:stretch>
      </xdr:blipFill>
      <xdr:spPr>
        <a:xfrm>
          <a:off x="2543175" y="2209800"/>
          <a:ext cx="1285875" cy="247650"/>
        </a:xfrm>
        <a:prstGeom prst="rect">
          <a:avLst/>
        </a:prstGeom>
        <a:noFill/>
        <a:ln w="9525" cmpd="sng">
          <a:noFill/>
        </a:ln>
      </xdr:spPr>
    </xdr:pic>
    <xdr:clientData/>
  </xdr:twoCellAnchor>
  <xdr:twoCellAnchor editAs="oneCell">
    <xdr:from>
      <xdr:col>4</xdr:col>
      <xdr:colOff>238125</xdr:colOff>
      <xdr:row>11</xdr:row>
      <xdr:rowOff>9525</xdr:rowOff>
    </xdr:from>
    <xdr:to>
      <xdr:col>6</xdr:col>
      <xdr:colOff>161925</xdr:colOff>
      <xdr:row>12</xdr:row>
      <xdr:rowOff>104775</xdr:rowOff>
    </xdr:to>
    <xdr:pic>
      <xdr:nvPicPr>
        <xdr:cNvPr id="17" name="CommandButton7"/>
        <xdr:cNvPicPr preferRelativeResize="1">
          <a:picLocks noChangeAspect="1"/>
        </xdr:cNvPicPr>
      </xdr:nvPicPr>
      <xdr:blipFill>
        <a:blip r:embed="rId17"/>
        <a:stretch>
          <a:fillRect/>
        </a:stretch>
      </xdr:blipFill>
      <xdr:spPr>
        <a:xfrm>
          <a:off x="2524125" y="1895475"/>
          <a:ext cx="1285875" cy="257175"/>
        </a:xfrm>
        <a:prstGeom prst="rect">
          <a:avLst/>
        </a:prstGeom>
        <a:noFill/>
        <a:ln w="9525" cmpd="sng">
          <a:noFill/>
        </a:ln>
      </xdr:spPr>
    </xdr:pic>
    <xdr:clientData/>
  </xdr:twoCellAnchor>
  <xdr:twoCellAnchor editAs="oneCell">
    <xdr:from>
      <xdr:col>4</xdr:col>
      <xdr:colOff>247650</xdr:colOff>
      <xdr:row>9</xdr:row>
      <xdr:rowOff>47625</xdr:rowOff>
    </xdr:from>
    <xdr:to>
      <xdr:col>6</xdr:col>
      <xdr:colOff>171450</xdr:colOff>
      <xdr:row>10</xdr:row>
      <xdr:rowOff>152400</xdr:rowOff>
    </xdr:to>
    <xdr:pic>
      <xdr:nvPicPr>
        <xdr:cNvPr id="18" name="CommandButton8"/>
        <xdr:cNvPicPr preferRelativeResize="1">
          <a:picLocks noChangeAspect="1"/>
        </xdr:cNvPicPr>
      </xdr:nvPicPr>
      <xdr:blipFill>
        <a:blip r:embed="rId18"/>
        <a:stretch>
          <a:fillRect/>
        </a:stretch>
      </xdr:blipFill>
      <xdr:spPr>
        <a:xfrm>
          <a:off x="2533650" y="1600200"/>
          <a:ext cx="1285875" cy="276225"/>
        </a:xfrm>
        <a:prstGeom prst="rect">
          <a:avLst/>
        </a:prstGeom>
        <a:noFill/>
        <a:ln w="9525" cmpd="sng">
          <a:noFill/>
        </a:ln>
      </xdr:spPr>
    </xdr:pic>
    <xdr:clientData/>
  </xdr:twoCellAnchor>
  <xdr:twoCellAnchor editAs="oneCell">
    <xdr:from>
      <xdr:col>10</xdr:col>
      <xdr:colOff>142875</xdr:colOff>
      <xdr:row>19</xdr:row>
      <xdr:rowOff>142875</xdr:rowOff>
    </xdr:from>
    <xdr:to>
      <xdr:col>10</xdr:col>
      <xdr:colOff>752475</xdr:colOff>
      <xdr:row>21</xdr:row>
      <xdr:rowOff>114300</xdr:rowOff>
    </xdr:to>
    <xdr:pic>
      <xdr:nvPicPr>
        <xdr:cNvPr id="19" name="CommandButton9"/>
        <xdr:cNvPicPr preferRelativeResize="1">
          <a:picLocks noChangeAspect="1"/>
        </xdr:cNvPicPr>
      </xdr:nvPicPr>
      <xdr:blipFill>
        <a:blip r:embed="rId19"/>
        <a:stretch>
          <a:fillRect/>
        </a:stretch>
      </xdr:blipFill>
      <xdr:spPr>
        <a:xfrm>
          <a:off x="5314950" y="3381375"/>
          <a:ext cx="609600" cy="295275"/>
        </a:xfrm>
        <a:prstGeom prst="rect">
          <a:avLst/>
        </a:prstGeom>
        <a:noFill/>
        <a:ln w="9525" cmpd="sng">
          <a:noFill/>
        </a:ln>
      </xdr:spPr>
    </xdr:pic>
    <xdr:clientData/>
  </xdr:twoCellAnchor>
  <xdr:twoCellAnchor editAs="oneCell">
    <xdr:from>
      <xdr:col>10</xdr:col>
      <xdr:colOff>514350</xdr:colOff>
      <xdr:row>16</xdr:row>
      <xdr:rowOff>133350</xdr:rowOff>
    </xdr:from>
    <xdr:to>
      <xdr:col>11</xdr:col>
      <xdr:colOff>438150</xdr:colOff>
      <xdr:row>19</xdr:row>
      <xdr:rowOff>114300</xdr:rowOff>
    </xdr:to>
    <xdr:pic>
      <xdr:nvPicPr>
        <xdr:cNvPr id="20" name="CommandButton10"/>
        <xdr:cNvPicPr preferRelativeResize="1">
          <a:picLocks noChangeAspect="1"/>
        </xdr:cNvPicPr>
      </xdr:nvPicPr>
      <xdr:blipFill>
        <a:blip r:embed="rId20"/>
        <a:stretch>
          <a:fillRect/>
        </a:stretch>
      </xdr:blipFill>
      <xdr:spPr>
        <a:xfrm>
          <a:off x="5686425" y="2886075"/>
          <a:ext cx="904875" cy="466725"/>
        </a:xfrm>
        <a:prstGeom prst="rect">
          <a:avLst/>
        </a:prstGeom>
        <a:noFill/>
        <a:ln w="9525" cmpd="sng">
          <a:noFill/>
        </a:ln>
      </xdr:spPr>
    </xdr:pic>
    <xdr:clientData/>
  </xdr:twoCellAnchor>
  <xdr:twoCellAnchor editAs="oneCell">
    <xdr:from>
      <xdr:col>2</xdr:col>
      <xdr:colOff>38100</xdr:colOff>
      <xdr:row>17</xdr:row>
      <xdr:rowOff>66675</xdr:rowOff>
    </xdr:from>
    <xdr:to>
      <xdr:col>3</xdr:col>
      <xdr:colOff>304800</xdr:colOff>
      <xdr:row>20</xdr:row>
      <xdr:rowOff>114300</xdr:rowOff>
    </xdr:to>
    <xdr:pic>
      <xdr:nvPicPr>
        <xdr:cNvPr id="21" name="CommandButton11"/>
        <xdr:cNvPicPr preferRelativeResize="1">
          <a:picLocks noChangeAspect="1"/>
        </xdr:cNvPicPr>
      </xdr:nvPicPr>
      <xdr:blipFill>
        <a:blip r:embed="rId21"/>
        <a:stretch>
          <a:fillRect/>
        </a:stretch>
      </xdr:blipFill>
      <xdr:spPr>
        <a:xfrm>
          <a:off x="1295400" y="2981325"/>
          <a:ext cx="914400" cy="533400"/>
        </a:xfrm>
        <a:prstGeom prst="rect">
          <a:avLst/>
        </a:prstGeom>
        <a:noFill/>
        <a:ln w="9525" cmpd="sng">
          <a:noFill/>
        </a:ln>
      </xdr:spPr>
    </xdr:pic>
    <xdr:clientData/>
  </xdr:twoCellAnchor>
  <xdr:twoCellAnchor editAs="oneCell">
    <xdr:from>
      <xdr:col>4</xdr:col>
      <xdr:colOff>266700</xdr:colOff>
      <xdr:row>7</xdr:row>
      <xdr:rowOff>47625</xdr:rowOff>
    </xdr:from>
    <xdr:to>
      <xdr:col>6</xdr:col>
      <xdr:colOff>190500</xdr:colOff>
      <xdr:row>8</xdr:row>
      <xdr:rowOff>152400</xdr:rowOff>
    </xdr:to>
    <xdr:pic>
      <xdr:nvPicPr>
        <xdr:cNvPr id="22" name="CommandButton12"/>
        <xdr:cNvPicPr preferRelativeResize="1">
          <a:picLocks noChangeAspect="1"/>
        </xdr:cNvPicPr>
      </xdr:nvPicPr>
      <xdr:blipFill>
        <a:blip r:embed="rId22"/>
        <a:stretch>
          <a:fillRect/>
        </a:stretch>
      </xdr:blipFill>
      <xdr:spPr>
        <a:xfrm>
          <a:off x="2552700" y="1257300"/>
          <a:ext cx="1285875" cy="276225"/>
        </a:xfrm>
        <a:prstGeom prst="rect">
          <a:avLst/>
        </a:prstGeom>
        <a:noFill/>
        <a:ln w="9525" cmpd="sng">
          <a:noFill/>
        </a:ln>
      </xdr:spPr>
    </xdr:pic>
    <xdr:clientData/>
  </xdr:twoCellAnchor>
  <xdr:twoCellAnchor editAs="oneCell">
    <xdr:from>
      <xdr:col>4</xdr:col>
      <xdr:colOff>276225</xdr:colOff>
      <xdr:row>5</xdr:row>
      <xdr:rowOff>47625</xdr:rowOff>
    </xdr:from>
    <xdr:to>
      <xdr:col>6</xdr:col>
      <xdr:colOff>200025</xdr:colOff>
      <xdr:row>7</xdr:row>
      <xdr:rowOff>0</xdr:rowOff>
    </xdr:to>
    <xdr:pic>
      <xdr:nvPicPr>
        <xdr:cNvPr id="23" name="CommandButton13"/>
        <xdr:cNvPicPr preferRelativeResize="1">
          <a:picLocks noChangeAspect="1"/>
        </xdr:cNvPicPr>
      </xdr:nvPicPr>
      <xdr:blipFill>
        <a:blip r:embed="rId23"/>
        <a:stretch>
          <a:fillRect/>
        </a:stretch>
      </xdr:blipFill>
      <xdr:spPr>
        <a:xfrm>
          <a:off x="2562225" y="933450"/>
          <a:ext cx="1285875" cy="276225"/>
        </a:xfrm>
        <a:prstGeom prst="rect">
          <a:avLst/>
        </a:prstGeom>
        <a:noFill/>
        <a:ln w="9525" cmpd="sng">
          <a:noFill/>
        </a:ln>
      </xdr:spPr>
    </xdr:pic>
    <xdr:clientData/>
  </xdr:twoCellAnchor>
  <xdr:twoCellAnchor editAs="oneCell">
    <xdr:from>
      <xdr:col>4</xdr:col>
      <xdr:colOff>361950</xdr:colOff>
      <xdr:row>3</xdr:row>
      <xdr:rowOff>28575</xdr:rowOff>
    </xdr:from>
    <xdr:to>
      <xdr:col>6</xdr:col>
      <xdr:colOff>47625</xdr:colOff>
      <xdr:row>4</xdr:row>
      <xdr:rowOff>133350</xdr:rowOff>
    </xdr:to>
    <xdr:pic>
      <xdr:nvPicPr>
        <xdr:cNvPr id="24" name="ToggleButton2"/>
        <xdr:cNvPicPr preferRelativeResize="1">
          <a:picLocks noChangeAspect="1"/>
        </xdr:cNvPicPr>
      </xdr:nvPicPr>
      <xdr:blipFill>
        <a:blip r:embed="rId24"/>
        <a:stretch>
          <a:fillRect/>
        </a:stretch>
      </xdr:blipFill>
      <xdr:spPr>
        <a:xfrm>
          <a:off x="2647950" y="581025"/>
          <a:ext cx="104775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8</xdr:row>
      <xdr:rowOff>114300</xdr:rowOff>
    </xdr:from>
    <xdr:to>
      <xdr:col>0</xdr:col>
      <xdr:colOff>657225</xdr:colOff>
      <xdr:row>11</xdr:row>
      <xdr:rowOff>38100</xdr:rowOff>
    </xdr:to>
    <xdr:pic>
      <xdr:nvPicPr>
        <xdr:cNvPr id="1" name="CommandButton1"/>
        <xdr:cNvPicPr preferRelativeResize="1">
          <a:picLocks noChangeAspect="1"/>
        </xdr:cNvPicPr>
      </xdr:nvPicPr>
      <xdr:blipFill>
        <a:blip r:embed="rId1"/>
        <a:stretch>
          <a:fillRect/>
        </a:stretch>
      </xdr:blipFill>
      <xdr:spPr>
        <a:xfrm>
          <a:off x="19050" y="1609725"/>
          <a:ext cx="638175" cy="409575"/>
        </a:xfrm>
        <a:prstGeom prst="rect">
          <a:avLst/>
        </a:prstGeom>
        <a:noFill/>
        <a:ln w="9525" cmpd="sng">
          <a:noFill/>
        </a:ln>
      </xdr:spPr>
    </xdr:pic>
    <xdr:clientData/>
  </xdr:twoCellAnchor>
  <xdr:twoCellAnchor editAs="oneCell">
    <xdr:from>
      <xdr:col>0</xdr:col>
      <xdr:colOff>76200</xdr:colOff>
      <xdr:row>4</xdr:row>
      <xdr:rowOff>76200</xdr:rowOff>
    </xdr:from>
    <xdr:to>
      <xdr:col>0</xdr:col>
      <xdr:colOff>619125</xdr:colOff>
      <xdr:row>8</xdr:row>
      <xdr:rowOff>19050</xdr:rowOff>
    </xdr:to>
    <xdr:pic>
      <xdr:nvPicPr>
        <xdr:cNvPr id="2" name="CommandButton2"/>
        <xdr:cNvPicPr preferRelativeResize="1">
          <a:picLocks noChangeAspect="1"/>
        </xdr:cNvPicPr>
      </xdr:nvPicPr>
      <xdr:blipFill>
        <a:blip r:embed="rId2"/>
        <a:stretch>
          <a:fillRect/>
        </a:stretch>
      </xdr:blipFill>
      <xdr:spPr>
        <a:xfrm>
          <a:off x="76200" y="914400"/>
          <a:ext cx="542925" cy="600075"/>
        </a:xfrm>
        <a:prstGeom prst="rect">
          <a:avLst/>
        </a:prstGeom>
        <a:noFill/>
        <a:ln w="9525" cmpd="sng">
          <a:noFill/>
        </a:ln>
      </xdr:spPr>
    </xdr:pic>
    <xdr:clientData/>
  </xdr:twoCellAnchor>
  <xdr:twoCellAnchor editAs="oneCell">
    <xdr:from>
      <xdr:col>0</xdr:col>
      <xdr:colOff>47625</xdr:colOff>
      <xdr:row>1</xdr:row>
      <xdr:rowOff>9525</xdr:rowOff>
    </xdr:from>
    <xdr:to>
      <xdr:col>0</xdr:col>
      <xdr:colOff>571500</xdr:colOff>
      <xdr:row>3</xdr:row>
      <xdr:rowOff>152400</xdr:rowOff>
    </xdr:to>
    <xdr:pic>
      <xdr:nvPicPr>
        <xdr:cNvPr id="3" name="CommandButton3"/>
        <xdr:cNvPicPr preferRelativeResize="1">
          <a:picLocks noChangeAspect="1"/>
        </xdr:cNvPicPr>
      </xdr:nvPicPr>
      <xdr:blipFill>
        <a:blip r:embed="rId3"/>
        <a:stretch>
          <a:fillRect/>
        </a:stretch>
      </xdr:blipFill>
      <xdr:spPr>
        <a:xfrm>
          <a:off x="47625" y="180975"/>
          <a:ext cx="5238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xdr:row>
      <xdr:rowOff>114300</xdr:rowOff>
    </xdr:from>
    <xdr:to>
      <xdr:col>12</xdr:col>
      <xdr:colOff>142875</xdr:colOff>
      <xdr:row>23</xdr:row>
      <xdr:rowOff>28575</xdr:rowOff>
    </xdr:to>
    <xdr:graphicFrame>
      <xdr:nvGraphicFramePr>
        <xdr:cNvPr id="1" name="Chart 5"/>
        <xdr:cNvGraphicFramePr/>
      </xdr:nvGraphicFramePr>
      <xdr:xfrm>
        <a:off x="2638425" y="276225"/>
        <a:ext cx="4829175" cy="34956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24</xdr:row>
      <xdr:rowOff>95250</xdr:rowOff>
    </xdr:from>
    <xdr:to>
      <xdr:col>10</xdr:col>
      <xdr:colOff>600075</xdr:colOff>
      <xdr:row>26</xdr:row>
      <xdr:rowOff>76200</xdr:rowOff>
    </xdr:to>
    <xdr:pic>
      <xdr:nvPicPr>
        <xdr:cNvPr id="2" name="CommandButton1"/>
        <xdr:cNvPicPr preferRelativeResize="1">
          <a:picLocks noChangeAspect="1"/>
        </xdr:cNvPicPr>
      </xdr:nvPicPr>
      <xdr:blipFill>
        <a:blip r:embed="rId2"/>
        <a:stretch>
          <a:fillRect/>
        </a:stretch>
      </xdr:blipFill>
      <xdr:spPr>
        <a:xfrm>
          <a:off x="6238875" y="4000500"/>
          <a:ext cx="466725" cy="304800"/>
        </a:xfrm>
        <a:prstGeom prst="rect">
          <a:avLst/>
        </a:prstGeom>
        <a:noFill/>
        <a:ln w="9525" cmpd="sng">
          <a:noFill/>
        </a:ln>
      </xdr:spPr>
    </xdr:pic>
    <xdr:clientData/>
  </xdr:twoCellAnchor>
  <xdr:twoCellAnchor editAs="oneCell">
    <xdr:from>
      <xdr:col>3</xdr:col>
      <xdr:colOff>47625</xdr:colOff>
      <xdr:row>22</xdr:row>
      <xdr:rowOff>19050</xdr:rowOff>
    </xdr:from>
    <xdr:to>
      <xdr:col>3</xdr:col>
      <xdr:colOff>714375</xdr:colOff>
      <xdr:row>24</xdr:row>
      <xdr:rowOff>104775</xdr:rowOff>
    </xdr:to>
    <xdr:pic>
      <xdr:nvPicPr>
        <xdr:cNvPr id="3" name="CommandButton2"/>
        <xdr:cNvPicPr preferRelativeResize="1">
          <a:picLocks noChangeAspect="1"/>
        </xdr:cNvPicPr>
      </xdr:nvPicPr>
      <xdr:blipFill>
        <a:blip r:embed="rId3"/>
        <a:stretch>
          <a:fillRect/>
        </a:stretch>
      </xdr:blipFill>
      <xdr:spPr>
        <a:xfrm>
          <a:off x="1581150" y="3600450"/>
          <a:ext cx="66675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4</xdr:row>
      <xdr:rowOff>76200</xdr:rowOff>
    </xdr:from>
    <xdr:to>
      <xdr:col>13</xdr:col>
      <xdr:colOff>466725</xdr:colOff>
      <xdr:row>19</xdr:row>
      <xdr:rowOff>123825</xdr:rowOff>
    </xdr:to>
    <xdr:graphicFrame>
      <xdr:nvGraphicFramePr>
        <xdr:cNvPr id="1" name="Chart 1"/>
        <xdr:cNvGraphicFramePr/>
      </xdr:nvGraphicFramePr>
      <xdr:xfrm>
        <a:off x="4724400" y="742950"/>
        <a:ext cx="3448050" cy="2590800"/>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4</xdr:row>
      <xdr:rowOff>85725</xdr:rowOff>
    </xdr:from>
    <xdr:to>
      <xdr:col>7</xdr:col>
      <xdr:colOff>561975</xdr:colOff>
      <xdr:row>19</xdr:row>
      <xdr:rowOff>104775</xdr:rowOff>
    </xdr:to>
    <xdr:graphicFrame>
      <xdr:nvGraphicFramePr>
        <xdr:cNvPr id="2" name="Chart 2"/>
        <xdr:cNvGraphicFramePr/>
      </xdr:nvGraphicFramePr>
      <xdr:xfrm>
        <a:off x="1447800" y="752475"/>
        <a:ext cx="3143250" cy="2562225"/>
      </xdr:xfrm>
      <a:graphic>
        <a:graphicData uri="http://schemas.openxmlformats.org/drawingml/2006/chart">
          <c:chart xmlns:c="http://schemas.openxmlformats.org/drawingml/2006/chart" r:id="rId2"/>
        </a:graphicData>
      </a:graphic>
    </xdr:graphicFrame>
    <xdr:clientData/>
  </xdr:twoCellAnchor>
  <xdr:twoCellAnchor editAs="oneCell">
    <xdr:from>
      <xdr:col>11</xdr:col>
      <xdr:colOff>123825</xdr:colOff>
      <xdr:row>25</xdr:row>
      <xdr:rowOff>57150</xdr:rowOff>
    </xdr:from>
    <xdr:to>
      <xdr:col>13</xdr:col>
      <xdr:colOff>533400</xdr:colOff>
      <xdr:row>27</xdr:row>
      <xdr:rowOff>161925</xdr:rowOff>
    </xdr:to>
    <xdr:pic>
      <xdr:nvPicPr>
        <xdr:cNvPr id="3" name="CommandButton1"/>
        <xdr:cNvPicPr preferRelativeResize="1">
          <a:picLocks noChangeAspect="1"/>
        </xdr:cNvPicPr>
      </xdr:nvPicPr>
      <xdr:blipFill>
        <a:blip r:embed="rId3"/>
        <a:stretch>
          <a:fillRect/>
        </a:stretch>
      </xdr:blipFill>
      <xdr:spPr>
        <a:xfrm>
          <a:off x="6591300" y="4238625"/>
          <a:ext cx="1647825" cy="428625"/>
        </a:xfrm>
        <a:prstGeom prst="rect">
          <a:avLst/>
        </a:prstGeom>
        <a:noFill/>
        <a:ln w="9525" cmpd="sng">
          <a:noFill/>
        </a:ln>
      </xdr:spPr>
    </xdr:pic>
    <xdr:clientData/>
  </xdr:twoCellAnchor>
  <xdr:twoCellAnchor editAs="oneCell">
    <xdr:from>
      <xdr:col>3</xdr:col>
      <xdr:colOff>523875</xdr:colOff>
      <xdr:row>25</xdr:row>
      <xdr:rowOff>104775</xdr:rowOff>
    </xdr:from>
    <xdr:to>
      <xdr:col>4</xdr:col>
      <xdr:colOff>466725</xdr:colOff>
      <xdr:row>27</xdr:row>
      <xdr:rowOff>104775</xdr:rowOff>
    </xdr:to>
    <xdr:pic>
      <xdr:nvPicPr>
        <xdr:cNvPr id="4" name="SpinButton1"/>
        <xdr:cNvPicPr preferRelativeResize="1">
          <a:picLocks noChangeAspect="1"/>
        </xdr:cNvPicPr>
      </xdr:nvPicPr>
      <xdr:blipFill>
        <a:blip r:embed="rId4"/>
        <a:stretch>
          <a:fillRect/>
        </a:stretch>
      </xdr:blipFill>
      <xdr:spPr>
        <a:xfrm>
          <a:off x="2028825" y="4286250"/>
          <a:ext cx="552450" cy="323850"/>
        </a:xfrm>
        <a:prstGeom prst="rect">
          <a:avLst/>
        </a:prstGeom>
        <a:noFill/>
        <a:ln w="9525" cmpd="sng">
          <a:noFill/>
        </a:ln>
      </xdr:spPr>
    </xdr:pic>
    <xdr:clientData/>
  </xdr:twoCellAnchor>
  <xdr:twoCellAnchor editAs="oneCell">
    <xdr:from>
      <xdr:col>3</xdr:col>
      <xdr:colOff>123825</xdr:colOff>
      <xdr:row>25</xdr:row>
      <xdr:rowOff>57150</xdr:rowOff>
    </xdr:from>
    <xdr:to>
      <xdr:col>5</xdr:col>
      <xdr:colOff>542925</xdr:colOff>
      <xdr:row>27</xdr:row>
      <xdr:rowOff>161925</xdr:rowOff>
    </xdr:to>
    <xdr:pic>
      <xdr:nvPicPr>
        <xdr:cNvPr id="5" name="CommandButton3"/>
        <xdr:cNvPicPr preferRelativeResize="1">
          <a:picLocks noChangeAspect="1"/>
        </xdr:cNvPicPr>
      </xdr:nvPicPr>
      <xdr:blipFill>
        <a:blip r:embed="rId5"/>
        <a:stretch>
          <a:fillRect/>
        </a:stretch>
      </xdr:blipFill>
      <xdr:spPr>
        <a:xfrm>
          <a:off x="1628775" y="4238625"/>
          <a:ext cx="1647825" cy="428625"/>
        </a:xfrm>
        <a:prstGeom prst="rect">
          <a:avLst/>
        </a:prstGeom>
        <a:noFill/>
        <a:ln w="9525" cmpd="sng">
          <a:noFill/>
        </a:ln>
      </xdr:spPr>
    </xdr:pic>
    <xdr:clientData/>
  </xdr:twoCellAnchor>
  <xdr:twoCellAnchor editAs="oneCell">
    <xdr:from>
      <xdr:col>5</xdr:col>
      <xdr:colOff>47625</xdr:colOff>
      <xdr:row>1</xdr:row>
      <xdr:rowOff>28575</xdr:rowOff>
    </xdr:from>
    <xdr:to>
      <xdr:col>8</xdr:col>
      <xdr:colOff>19050</xdr:colOff>
      <xdr:row>4</xdr:row>
      <xdr:rowOff>38100</xdr:rowOff>
    </xdr:to>
    <xdr:pic>
      <xdr:nvPicPr>
        <xdr:cNvPr id="6" name="ToggleButton1"/>
        <xdr:cNvPicPr preferRelativeResize="1">
          <a:picLocks noChangeAspect="1"/>
        </xdr:cNvPicPr>
      </xdr:nvPicPr>
      <xdr:blipFill>
        <a:blip r:embed="rId6"/>
        <a:stretch>
          <a:fillRect/>
        </a:stretch>
      </xdr:blipFill>
      <xdr:spPr>
        <a:xfrm>
          <a:off x="2781300" y="200025"/>
          <a:ext cx="1876425" cy="504825"/>
        </a:xfrm>
        <a:prstGeom prst="rect">
          <a:avLst/>
        </a:prstGeom>
        <a:noFill/>
        <a:ln w="9525" cmpd="sng">
          <a:noFill/>
        </a:ln>
      </xdr:spPr>
    </xdr:pic>
    <xdr:clientData/>
  </xdr:twoCellAnchor>
  <xdr:twoCellAnchor editAs="oneCell">
    <xdr:from>
      <xdr:col>8</xdr:col>
      <xdr:colOff>276225</xdr:colOff>
      <xdr:row>1</xdr:row>
      <xdr:rowOff>104775</xdr:rowOff>
    </xdr:from>
    <xdr:to>
      <xdr:col>9</xdr:col>
      <xdr:colOff>581025</xdr:colOff>
      <xdr:row>3</xdr:row>
      <xdr:rowOff>76200</xdr:rowOff>
    </xdr:to>
    <xdr:pic>
      <xdr:nvPicPr>
        <xdr:cNvPr id="7" name="CommandButton2"/>
        <xdr:cNvPicPr preferRelativeResize="1">
          <a:picLocks noChangeAspect="1"/>
        </xdr:cNvPicPr>
      </xdr:nvPicPr>
      <xdr:blipFill>
        <a:blip r:embed="rId7"/>
        <a:stretch>
          <a:fillRect/>
        </a:stretch>
      </xdr:blipFill>
      <xdr:spPr>
        <a:xfrm>
          <a:off x="4914900" y="276225"/>
          <a:ext cx="914400" cy="304800"/>
        </a:xfrm>
        <a:prstGeom prst="rect">
          <a:avLst/>
        </a:prstGeom>
        <a:noFill/>
        <a:ln w="9525" cmpd="sng">
          <a:noFill/>
        </a:ln>
      </xdr:spPr>
    </xdr:pic>
    <xdr:clientData/>
  </xdr:twoCellAnchor>
  <xdr:twoCellAnchor editAs="oneCell">
    <xdr:from>
      <xdr:col>10</xdr:col>
      <xdr:colOff>66675</xdr:colOff>
      <xdr:row>1</xdr:row>
      <xdr:rowOff>76200</xdr:rowOff>
    </xdr:from>
    <xdr:to>
      <xdr:col>13</xdr:col>
      <xdr:colOff>9525</xdr:colOff>
      <xdr:row>4</xdr:row>
      <xdr:rowOff>38100</xdr:rowOff>
    </xdr:to>
    <xdr:pic>
      <xdr:nvPicPr>
        <xdr:cNvPr id="8" name="CommandButton4"/>
        <xdr:cNvPicPr preferRelativeResize="1">
          <a:picLocks noChangeAspect="1"/>
        </xdr:cNvPicPr>
      </xdr:nvPicPr>
      <xdr:blipFill>
        <a:blip r:embed="rId8"/>
        <a:stretch>
          <a:fillRect/>
        </a:stretch>
      </xdr:blipFill>
      <xdr:spPr>
        <a:xfrm>
          <a:off x="5924550" y="247650"/>
          <a:ext cx="1790700" cy="457200"/>
        </a:xfrm>
        <a:prstGeom prst="rect">
          <a:avLst/>
        </a:prstGeom>
        <a:noFill/>
        <a:ln w="9525" cmpd="sng">
          <a:noFill/>
        </a:ln>
      </xdr:spPr>
    </xdr:pic>
    <xdr:clientData/>
  </xdr:twoCellAnchor>
  <xdr:twoCellAnchor editAs="oneCell">
    <xdr:from>
      <xdr:col>6</xdr:col>
      <xdr:colOff>123825</xdr:colOff>
      <xdr:row>25</xdr:row>
      <xdr:rowOff>104775</xdr:rowOff>
    </xdr:from>
    <xdr:to>
      <xdr:col>7</xdr:col>
      <xdr:colOff>180975</xdr:colOff>
      <xdr:row>28</xdr:row>
      <xdr:rowOff>19050</xdr:rowOff>
    </xdr:to>
    <xdr:pic>
      <xdr:nvPicPr>
        <xdr:cNvPr id="9" name="CommandButton5"/>
        <xdr:cNvPicPr preferRelativeResize="1">
          <a:picLocks noChangeAspect="1"/>
        </xdr:cNvPicPr>
      </xdr:nvPicPr>
      <xdr:blipFill>
        <a:blip r:embed="rId9"/>
        <a:stretch>
          <a:fillRect/>
        </a:stretch>
      </xdr:blipFill>
      <xdr:spPr>
        <a:xfrm>
          <a:off x="3505200" y="4286250"/>
          <a:ext cx="704850" cy="409575"/>
        </a:xfrm>
        <a:prstGeom prst="rect">
          <a:avLst/>
        </a:prstGeom>
        <a:noFill/>
        <a:ln w="9525" cmpd="sng">
          <a:noFill/>
        </a:ln>
      </xdr:spPr>
    </xdr:pic>
    <xdr:clientData/>
  </xdr:twoCellAnchor>
  <xdr:twoCellAnchor editAs="oneCell">
    <xdr:from>
      <xdr:col>6</xdr:col>
      <xdr:colOff>314325</xdr:colOff>
      <xdr:row>14</xdr:row>
      <xdr:rowOff>19050</xdr:rowOff>
    </xdr:from>
    <xdr:to>
      <xdr:col>7</xdr:col>
      <xdr:colOff>238125</xdr:colOff>
      <xdr:row>17</xdr:row>
      <xdr:rowOff>28575</xdr:rowOff>
    </xdr:to>
    <xdr:pic>
      <xdr:nvPicPr>
        <xdr:cNvPr id="10" name="TextBox1"/>
        <xdr:cNvPicPr preferRelativeResize="1">
          <a:picLocks noChangeAspect="1"/>
        </xdr:cNvPicPr>
      </xdr:nvPicPr>
      <xdr:blipFill>
        <a:blip r:embed="rId10"/>
        <a:stretch>
          <a:fillRect/>
        </a:stretch>
      </xdr:blipFill>
      <xdr:spPr>
        <a:xfrm>
          <a:off x="3695700" y="2419350"/>
          <a:ext cx="571500" cy="495300"/>
        </a:xfrm>
        <a:prstGeom prst="rect">
          <a:avLst/>
        </a:prstGeom>
        <a:noFill/>
        <a:ln w="9525" cmpd="sng">
          <a:noFill/>
        </a:ln>
      </xdr:spPr>
    </xdr:pic>
    <xdr:clientData/>
  </xdr:twoCellAnchor>
  <xdr:twoCellAnchor editAs="oneCell">
    <xdr:from>
      <xdr:col>11</xdr:col>
      <xdr:colOff>590550</xdr:colOff>
      <xdr:row>13</xdr:row>
      <xdr:rowOff>114300</xdr:rowOff>
    </xdr:from>
    <xdr:to>
      <xdr:col>13</xdr:col>
      <xdr:colOff>133350</xdr:colOff>
      <xdr:row>16</xdr:row>
      <xdr:rowOff>123825</xdr:rowOff>
    </xdr:to>
    <xdr:pic>
      <xdr:nvPicPr>
        <xdr:cNvPr id="11" name="TextBox2"/>
        <xdr:cNvPicPr preferRelativeResize="1">
          <a:picLocks noChangeAspect="1"/>
        </xdr:cNvPicPr>
      </xdr:nvPicPr>
      <xdr:blipFill>
        <a:blip r:embed="rId11"/>
        <a:stretch>
          <a:fillRect/>
        </a:stretch>
      </xdr:blipFill>
      <xdr:spPr>
        <a:xfrm>
          <a:off x="7058025" y="2352675"/>
          <a:ext cx="7810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76200</xdr:rowOff>
    </xdr:from>
    <xdr:to>
      <xdr:col>13</xdr:col>
      <xdr:colOff>171450</xdr:colOff>
      <xdr:row>27</xdr:row>
      <xdr:rowOff>123825</xdr:rowOff>
    </xdr:to>
    <xdr:graphicFrame>
      <xdr:nvGraphicFramePr>
        <xdr:cNvPr id="1" name="Chart 1"/>
        <xdr:cNvGraphicFramePr/>
      </xdr:nvGraphicFramePr>
      <xdr:xfrm>
        <a:off x="2438400" y="1143000"/>
        <a:ext cx="5048250" cy="3562350"/>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0</xdr:colOff>
      <xdr:row>16</xdr:row>
      <xdr:rowOff>57150</xdr:rowOff>
    </xdr:from>
    <xdr:to>
      <xdr:col>4</xdr:col>
      <xdr:colOff>219075</xdr:colOff>
      <xdr:row>20</xdr:row>
      <xdr:rowOff>104775</xdr:rowOff>
    </xdr:to>
    <xdr:pic>
      <xdr:nvPicPr>
        <xdr:cNvPr id="2" name="ScrollBar1"/>
        <xdr:cNvPicPr preferRelativeResize="1">
          <a:picLocks noChangeAspect="1"/>
        </xdr:cNvPicPr>
      </xdr:nvPicPr>
      <xdr:blipFill>
        <a:blip r:embed="rId2"/>
        <a:stretch>
          <a:fillRect/>
        </a:stretch>
      </xdr:blipFill>
      <xdr:spPr>
        <a:xfrm>
          <a:off x="2181225" y="2838450"/>
          <a:ext cx="219075" cy="695325"/>
        </a:xfrm>
        <a:prstGeom prst="rect">
          <a:avLst/>
        </a:prstGeom>
        <a:noFill/>
        <a:ln w="9525" cmpd="sng">
          <a:noFill/>
        </a:ln>
      </xdr:spPr>
    </xdr:pic>
    <xdr:clientData/>
  </xdr:twoCellAnchor>
  <xdr:twoCellAnchor editAs="oneCell">
    <xdr:from>
      <xdr:col>1</xdr:col>
      <xdr:colOff>142875</xdr:colOff>
      <xdr:row>21</xdr:row>
      <xdr:rowOff>38100</xdr:rowOff>
    </xdr:from>
    <xdr:to>
      <xdr:col>2</xdr:col>
      <xdr:colOff>352425</xdr:colOff>
      <xdr:row>23</xdr:row>
      <xdr:rowOff>104775</xdr:rowOff>
    </xdr:to>
    <xdr:pic>
      <xdr:nvPicPr>
        <xdr:cNvPr id="3" name="CommandButton1"/>
        <xdr:cNvPicPr preferRelativeResize="1">
          <a:picLocks noChangeAspect="1"/>
        </xdr:cNvPicPr>
      </xdr:nvPicPr>
      <xdr:blipFill>
        <a:blip r:embed="rId3"/>
        <a:stretch>
          <a:fillRect/>
        </a:stretch>
      </xdr:blipFill>
      <xdr:spPr>
        <a:xfrm>
          <a:off x="390525" y="3629025"/>
          <a:ext cx="92392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8</xdr:row>
      <xdr:rowOff>95250</xdr:rowOff>
    </xdr:from>
    <xdr:to>
      <xdr:col>13</xdr:col>
      <xdr:colOff>304800</xdr:colOff>
      <xdr:row>26</xdr:row>
      <xdr:rowOff>38100</xdr:rowOff>
    </xdr:to>
    <xdr:graphicFrame>
      <xdr:nvGraphicFramePr>
        <xdr:cNvPr id="1" name="Chart 1"/>
        <xdr:cNvGraphicFramePr/>
      </xdr:nvGraphicFramePr>
      <xdr:xfrm>
        <a:off x="4324350" y="1400175"/>
        <a:ext cx="3962400" cy="28575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8</xdr:row>
      <xdr:rowOff>114300</xdr:rowOff>
    </xdr:from>
    <xdr:to>
      <xdr:col>6</xdr:col>
      <xdr:colOff>514350</xdr:colOff>
      <xdr:row>26</xdr:row>
      <xdr:rowOff>66675</xdr:rowOff>
    </xdr:to>
    <xdr:graphicFrame>
      <xdr:nvGraphicFramePr>
        <xdr:cNvPr id="2" name="Chart 2"/>
        <xdr:cNvGraphicFramePr/>
      </xdr:nvGraphicFramePr>
      <xdr:xfrm>
        <a:off x="190500" y="1419225"/>
        <a:ext cx="4000500" cy="28670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142875</xdr:colOff>
      <xdr:row>5</xdr:row>
      <xdr:rowOff>38100</xdr:rowOff>
    </xdr:from>
    <xdr:to>
      <xdr:col>1</xdr:col>
      <xdr:colOff>457200</xdr:colOff>
      <xdr:row>7</xdr:row>
      <xdr:rowOff>114300</xdr:rowOff>
    </xdr:to>
    <xdr:pic>
      <xdr:nvPicPr>
        <xdr:cNvPr id="3" name="CommandButton1"/>
        <xdr:cNvPicPr preferRelativeResize="1">
          <a:picLocks noChangeAspect="1"/>
        </xdr:cNvPicPr>
      </xdr:nvPicPr>
      <xdr:blipFill>
        <a:blip r:embed="rId3"/>
        <a:stretch>
          <a:fillRect/>
        </a:stretch>
      </xdr:blipFill>
      <xdr:spPr>
        <a:xfrm>
          <a:off x="142875" y="847725"/>
          <a:ext cx="923925" cy="409575"/>
        </a:xfrm>
        <a:prstGeom prst="rect">
          <a:avLst/>
        </a:prstGeom>
        <a:noFill/>
        <a:ln w="9525" cmpd="sng">
          <a:noFill/>
        </a:ln>
      </xdr:spPr>
    </xdr:pic>
    <xdr:clientData/>
  </xdr:twoCellAnchor>
  <xdr:twoCellAnchor editAs="oneCell">
    <xdr:from>
      <xdr:col>0</xdr:col>
      <xdr:colOff>161925</xdr:colOff>
      <xdr:row>29</xdr:row>
      <xdr:rowOff>85725</xdr:rowOff>
    </xdr:from>
    <xdr:to>
      <xdr:col>1</xdr:col>
      <xdr:colOff>571500</xdr:colOff>
      <xdr:row>31</xdr:row>
      <xdr:rowOff>66675</xdr:rowOff>
    </xdr:to>
    <xdr:pic>
      <xdr:nvPicPr>
        <xdr:cNvPr id="4" name="CommandButton2"/>
        <xdr:cNvPicPr preferRelativeResize="1">
          <a:picLocks noChangeAspect="1"/>
        </xdr:cNvPicPr>
      </xdr:nvPicPr>
      <xdr:blipFill>
        <a:blip r:embed="rId4"/>
        <a:stretch>
          <a:fillRect/>
        </a:stretch>
      </xdr:blipFill>
      <xdr:spPr>
        <a:xfrm>
          <a:off x="161925" y="4791075"/>
          <a:ext cx="1019175"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57150</xdr:rowOff>
    </xdr:from>
    <xdr:to>
      <xdr:col>13</xdr:col>
      <xdr:colOff>123825</xdr:colOff>
      <xdr:row>33</xdr:row>
      <xdr:rowOff>114300</xdr:rowOff>
    </xdr:to>
    <xdr:pic>
      <xdr:nvPicPr>
        <xdr:cNvPr id="1" name="Picture 2"/>
        <xdr:cNvPicPr preferRelativeResize="1">
          <a:picLocks noChangeAspect="1"/>
        </xdr:cNvPicPr>
      </xdr:nvPicPr>
      <xdr:blipFill>
        <a:blip r:embed="rId1"/>
        <a:srcRect l="9765" t="13801" r="11604" b="8854"/>
        <a:stretch>
          <a:fillRect/>
        </a:stretch>
      </xdr:blipFill>
      <xdr:spPr>
        <a:xfrm>
          <a:off x="733425" y="57150"/>
          <a:ext cx="7315200" cy="5400675"/>
        </a:xfrm>
        <a:prstGeom prst="rect">
          <a:avLst/>
        </a:prstGeom>
        <a:noFill/>
        <a:ln w="1" cmpd="sng">
          <a:noFill/>
        </a:ln>
      </xdr:spPr>
    </xdr:pic>
    <xdr:clientData/>
  </xdr:twoCellAnchor>
  <xdr:twoCellAnchor editAs="oneCell">
    <xdr:from>
      <xdr:col>0</xdr:col>
      <xdr:colOff>47625</xdr:colOff>
      <xdr:row>11</xdr:row>
      <xdr:rowOff>28575</xdr:rowOff>
    </xdr:from>
    <xdr:to>
      <xdr:col>1</xdr:col>
      <xdr:colOff>104775</xdr:colOff>
      <xdr:row>13</xdr:row>
      <xdr:rowOff>114300</xdr:rowOff>
    </xdr:to>
    <xdr:pic>
      <xdr:nvPicPr>
        <xdr:cNvPr id="2" name="CommandButton1"/>
        <xdr:cNvPicPr preferRelativeResize="1">
          <a:picLocks noChangeAspect="1"/>
        </xdr:cNvPicPr>
      </xdr:nvPicPr>
      <xdr:blipFill>
        <a:blip r:embed="rId2"/>
        <a:stretch>
          <a:fillRect/>
        </a:stretch>
      </xdr:blipFill>
      <xdr:spPr>
        <a:xfrm>
          <a:off x="47625" y="1809750"/>
          <a:ext cx="666750"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10</xdr:row>
      <xdr:rowOff>0</xdr:rowOff>
    </xdr:from>
    <xdr:to>
      <xdr:col>1</xdr:col>
      <xdr:colOff>180975</xdr:colOff>
      <xdr:row>12</xdr:row>
      <xdr:rowOff>85725</xdr:rowOff>
    </xdr:to>
    <xdr:pic>
      <xdr:nvPicPr>
        <xdr:cNvPr id="1" name="CommandButton1"/>
        <xdr:cNvPicPr preferRelativeResize="1">
          <a:picLocks noChangeAspect="1"/>
        </xdr:cNvPicPr>
      </xdr:nvPicPr>
      <xdr:blipFill>
        <a:blip r:embed="rId1"/>
        <a:stretch>
          <a:fillRect/>
        </a:stretch>
      </xdr:blipFill>
      <xdr:spPr>
        <a:xfrm>
          <a:off x="38100" y="1619250"/>
          <a:ext cx="752475" cy="409575"/>
        </a:xfrm>
        <a:prstGeom prst="rect">
          <a:avLst/>
        </a:prstGeom>
        <a:noFill/>
        <a:ln w="9525" cmpd="sng">
          <a:noFill/>
        </a:ln>
      </xdr:spPr>
    </xdr:pic>
    <xdr:clientData/>
  </xdr:twoCellAnchor>
  <xdr:twoCellAnchor editAs="oneCell">
    <xdr:from>
      <xdr:col>1</xdr:col>
      <xdr:colOff>209550</xdr:colOff>
      <xdr:row>0</xdr:row>
      <xdr:rowOff>152400</xdr:rowOff>
    </xdr:from>
    <xdr:to>
      <xdr:col>14</xdr:col>
      <xdr:colOff>314325</xdr:colOff>
      <xdr:row>36</xdr:row>
      <xdr:rowOff>142875</xdr:rowOff>
    </xdr:to>
    <xdr:pic>
      <xdr:nvPicPr>
        <xdr:cNvPr id="2" name="Picture 5"/>
        <xdr:cNvPicPr preferRelativeResize="1">
          <a:picLocks noChangeAspect="1"/>
        </xdr:cNvPicPr>
      </xdr:nvPicPr>
      <xdr:blipFill>
        <a:blip r:embed="rId2"/>
        <a:srcRect t="7031" r="17285" b="8337"/>
        <a:stretch>
          <a:fillRect/>
        </a:stretch>
      </xdr:blipFill>
      <xdr:spPr>
        <a:xfrm>
          <a:off x="819150" y="152400"/>
          <a:ext cx="8029575" cy="58197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rthur\jhickox$\Documents%20and%20Settings\ken\Desktop\mmap%20edition\excel\textbook\Line%20Transects\transe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thur\jhickox$\WINDOWS\Desktop\textbook\pl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nsus"/>
      <sheetName val="simulator"/>
      <sheetName val="estimato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D-calc"/>
      <sheetName val="SD--&gt;SE"/>
      <sheetName val="p-value"/>
      <sheetName val="power"/>
      <sheetName val="CLT"/>
      <sheetName val="welc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
  <dimension ref="A1:X33"/>
  <sheetViews>
    <sheetView showGridLines="0" showRowColHeaders="0" tabSelected="1" zoomScale="143" zoomScaleNormal="143" workbookViewId="0" topLeftCell="A1">
      <selection activeCell="A1" sqref="A1"/>
    </sheetView>
  </sheetViews>
  <sheetFormatPr defaultColWidth="9.140625" defaultRowHeight="12.75"/>
  <cols>
    <col min="1" max="1" width="1.7109375" style="0" customWidth="1"/>
    <col min="2" max="2" width="17.140625" style="0" bestFit="1" customWidth="1"/>
    <col min="3" max="3" width="9.7109375" style="0" bestFit="1" customWidth="1"/>
    <col min="4" max="5" width="5.7109375" style="0" customWidth="1"/>
    <col min="6" max="6" width="14.7109375" style="0" customWidth="1"/>
    <col min="7" max="7" width="7.7109375" style="0" customWidth="1"/>
    <col min="8" max="8" width="5.7109375" style="0" customWidth="1"/>
    <col min="9" max="9" width="6.7109375" style="0" customWidth="1"/>
    <col min="10" max="10" width="2.7109375" style="0" customWidth="1"/>
    <col min="11" max="11" width="14.7109375" style="0" customWidth="1"/>
    <col min="12" max="12" width="8.7109375" style="0" customWidth="1"/>
    <col min="13" max="13" width="11.57421875" style="36" bestFit="1" customWidth="1"/>
    <col min="14" max="14" width="9.28125" style="8" bestFit="1" customWidth="1"/>
    <col min="15" max="15" width="9.28125" style="35" bestFit="1" customWidth="1"/>
    <col min="16" max="17" width="9.421875" style="36" bestFit="1" customWidth="1"/>
    <col min="18" max="18" width="12.7109375" style="36" bestFit="1" customWidth="1"/>
    <col min="19" max="19" width="12.421875" style="36" bestFit="1" customWidth="1"/>
    <col min="20" max="20" width="9.140625" style="8" customWidth="1"/>
    <col min="23" max="25" width="9.140625" style="5" customWidth="1"/>
    <col min="26" max="27" width="12.421875" style="5" bestFit="1" customWidth="1"/>
    <col min="28" max="29" width="9.140625" style="5" customWidth="1"/>
  </cols>
  <sheetData>
    <row r="1" spans="13:19" ht="15" customHeight="1" thickBot="1">
      <c r="M1" s="5"/>
      <c r="O1" s="35" t="s">
        <v>89</v>
      </c>
      <c r="P1" s="36">
        <f>IF(B10="Increase",1,0)</f>
        <v>0</v>
      </c>
      <c r="Q1" s="49"/>
      <c r="R1" s="49"/>
      <c r="S1" s="49"/>
    </row>
    <row r="2" spans="2:19" ht="15" customHeight="1" thickTop="1">
      <c r="B2" s="20"/>
      <c r="C2" s="30">
        <v>10</v>
      </c>
      <c r="D2" s="9"/>
      <c r="H2" s="168" t="s">
        <v>52</v>
      </c>
      <c r="I2" s="169"/>
      <c r="J2" s="169"/>
      <c r="K2" s="169"/>
      <c r="L2" s="170"/>
      <c r="O2" s="35" t="s">
        <v>18</v>
      </c>
      <c r="P2" s="36">
        <f>IF(C5=TRUE,1,2)</f>
        <v>2</v>
      </c>
      <c r="Q2" s="49"/>
      <c r="R2" s="49"/>
      <c r="S2" s="49"/>
    </row>
    <row r="3" spans="2:24" ht="13.5" thickBot="1">
      <c r="B3" s="15" t="s">
        <v>0</v>
      </c>
      <c r="C3" s="17">
        <f>C2/200</f>
        <v>0.05</v>
      </c>
      <c r="D3" s="12"/>
      <c r="H3" s="171"/>
      <c r="I3" s="172"/>
      <c r="J3" s="172"/>
      <c r="K3" s="172"/>
      <c r="L3" s="173"/>
      <c r="O3" s="35" t="s">
        <v>9</v>
      </c>
      <c r="P3" s="36">
        <f>IF(OR(J18=1,J18=2),L23,G23)</f>
        <v>25</v>
      </c>
      <c r="Q3" s="49"/>
      <c r="R3" s="49"/>
      <c r="S3" s="49"/>
      <c r="X3" s="6"/>
    </row>
    <row r="4" spans="2:19" ht="13.5" thickTop="1">
      <c r="B4" s="22" t="s">
        <v>8</v>
      </c>
      <c r="C4" s="19">
        <f>IF(C5=TRUE,TINV(2*C3,P18),TINV(C3,P18))</f>
        <v>2.063898547318068</v>
      </c>
      <c r="D4" s="12"/>
      <c r="F4" s="73" t="b">
        <v>1</v>
      </c>
      <c r="H4" s="175" t="s">
        <v>53</v>
      </c>
      <c r="I4" s="176"/>
      <c r="J4" s="176"/>
      <c r="K4" s="176"/>
      <c r="L4" s="177"/>
      <c r="O4" s="35" t="s">
        <v>10</v>
      </c>
      <c r="P4" s="103">
        <f>IF(J18=4,L26,L23)</f>
        <v>400</v>
      </c>
      <c r="Q4" s="49"/>
      <c r="R4" s="49"/>
      <c r="S4" s="49"/>
    </row>
    <row r="5" spans="2:19" ht="12.75">
      <c r="B5" s="10" t="str">
        <f>IF(C5=TRUE,"one-sided","two-sided")</f>
        <v>two-sided</v>
      </c>
      <c r="C5" s="11" t="b">
        <v>0</v>
      </c>
      <c r="D5" s="12"/>
      <c r="E5" s="14"/>
      <c r="H5" s="178"/>
      <c r="I5" s="179"/>
      <c r="J5" s="179"/>
      <c r="K5" s="179"/>
      <c r="L5" s="180"/>
      <c r="O5" s="35" t="s">
        <v>11</v>
      </c>
      <c r="P5" s="36">
        <f>IF(C24=0,C27^2,IF(C24=1,C27^2,IF(C24=2,(C12*C27)^2,C12*C27)))</f>
        <v>121</v>
      </c>
      <c r="Q5" s="49"/>
      <c r="R5" s="49"/>
      <c r="S5" s="49"/>
    </row>
    <row r="6" spans="2:19" ht="12.75">
      <c r="B6" s="13"/>
      <c r="C6" s="14"/>
      <c r="D6" s="12"/>
      <c r="E6" s="14"/>
      <c r="H6" s="178"/>
      <c r="I6" s="179"/>
      <c r="J6" s="179"/>
      <c r="K6" s="179"/>
      <c r="L6" s="180"/>
      <c r="O6" s="35" t="s">
        <v>12</v>
      </c>
      <c r="P6" s="36">
        <f>IF(C24=0,C27^2,IF(C24=1,C28^2,IF(C24=2,(C13*C27)^2,C13*C27)))</f>
        <v>30.25</v>
      </c>
      <c r="Q6" s="49"/>
      <c r="R6" s="49"/>
      <c r="S6" s="49"/>
    </row>
    <row r="7" spans="2:19" ht="12.75">
      <c r="B7" s="13"/>
      <c r="C7" s="14"/>
      <c r="D7" s="12"/>
      <c r="E7" s="14"/>
      <c r="H7" s="178"/>
      <c r="I7" s="179"/>
      <c r="J7" s="179"/>
      <c r="K7" s="179"/>
      <c r="L7" s="180"/>
      <c r="O7" s="35" t="s">
        <v>27</v>
      </c>
      <c r="P7" s="36">
        <f>(P5/P3+P6/P4)^2/((P5/P3)^2/(P3-1)+(P6/P4)^2/(P4-1))</f>
        <v>24.755495836820998</v>
      </c>
      <c r="Q7" s="49"/>
      <c r="R7" s="49"/>
      <c r="S7" s="49"/>
    </row>
    <row r="8" spans="2:19" ht="13.5" thickBot="1">
      <c r="B8" s="13"/>
      <c r="C8" s="14"/>
      <c r="D8" s="12"/>
      <c r="E8" s="14"/>
      <c r="H8" s="178"/>
      <c r="I8" s="179"/>
      <c r="J8" s="179"/>
      <c r="K8" s="179"/>
      <c r="L8" s="180"/>
      <c r="O8" s="35" t="s">
        <v>7</v>
      </c>
      <c r="P8" s="104">
        <f>CHOOSE(J18,I20,0,0,I20)</f>
        <v>0</v>
      </c>
      <c r="Q8" s="49"/>
      <c r="R8" s="49"/>
      <c r="S8" s="49"/>
    </row>
    <row r="9" spans="1:19" ht="13.5" thickTop="1">
      <c r="A9">
        <v>10</v>
      </c>
      <c r="B9" s="20"/>
      <c r="C9" s="21"/>
      <c r="D9" s="9"/>
      <c r="E9" s="14"/>
      <c r="H9" s="181"/>
      <c r="I9" s="182"/>
      <c r="J9" s="182"/>
      <c r="K9" s="182"/>
      <c r="L9" s="183"/>
      <c r="O9" s="35" t="s">
        <v>91</v>
      </c>
      <c r="P9" s="36">
        <f>P5/P3</f>
        <v>4.84</v>
      </c>
      <c r="Q9" s="49"/>
      <c r="R9" s="49"/>
      <c r="S9" s="49"/>
    </row>
    <row r="10" spans="2:19" ht="13.5" thickBot="1">
      <c r="B10" s="10" t="str">
        <f>IF(C10=TRUE,"Increase","Decrease")</f>
        <v>Decrease</v>
      </c>
      <c r="C10" s="11" t="b">
        <v>0</v>
      </c>
      <c r="D10" s="12"/>
      <c r="E10" s="14"/>
      <c r="H10" s="184"/>
      <c r="I10" s="185"/>
      <c r="J10" s="185"/>
      <c r="K10" s="185"/>
      <c r="L10" s="186"/>
      <c r="O10" s="35" t="s">
        <v>25</v>
      </c>
      <c r="P10" s="36">
        <f>1/((P5+P6-2*P8*SQRT(P5*P6))/P3)</f>
        <v>0.1652892561983471</v>
      </c>
      <c r="Q10" s="49"/>
      <c r="R10" s="49"/>
      <c r="S10" s="49"/>
    </row>
    <row r="11" spans="2:19" ht="12.75" customHeight="1" thickTop="1">
      <c r="B11" s="13"/>
      <c r="C11" s="14"/>
      <c r="D11" s="12"/>
      <c r="E11" s="14"/>
      <c r="O11" s="35" t="s">
        <v>26</v>
      </c>
      <c r="P11" s="36">
        <f>1/(P5/P3+P6/P4)</f>
        <v>0.203432930705658</v>
      </c>
      <c r="Q11" s="49"/>
      <c r="R11" s="49"/>
      <c r="S11" s="49"/>
    </row>
    <row r="12" spans="2:19" ht="12.75" customHeight="1">
      <c r="B12" s="25" t="s">
        <v>115</v>
      </c>
      <c r="C12" s="16">
        <v>10</v>
      </c>
      <c r="D12" s="12"/>
      <c r="E12" s="14"/>
      <c r="K12" s="174">
        <f>1-NORMSDIST(P21/P22)</f>
        <v>0.5883661577641413</v>
      </c>
      <c r="O12" s="35" t="s">
        <v>23</v>
      </c>
      <c r="P12" s="36">
        <f>P10/(P10+P11)</f>
        <v>0.4482758620689655</v>
      </c>
      <c r="Q12" s="49"/>
      <c r="R12" s="49"/>
      <c r="S12" s="49"/>
    </row>
    <row r="13" spans="2:19" ht="15.75">
      <c r="B13" s="15" t="s">
        <v>6</v>
      </c>
      <c r="C13" s="17">
        <f>C12*(1+C14*(2*P1-1))</f>
        <v>5</v>
      </c>
      <c r="D13" s="12"/>
      <c r="E13" s="14"/>
      <c r="H13" s="161" t="s">
        <v>1</v>
      </c>
      <c r="I13" s="161"/>
      <c r="J13" s="161"/>
      <c r="K13" s="174"/>
      <c r="O13" s="35" t="s">
        <v>24</v>
      </c>
      <c r="P13" s="36">
        <f>1-P12</f>
        <v>0.5517241379310345</v>
      </c>
      <c r="Q13" s="49"/>
      <c r="R13" s="49"/>
      <c r="S13" s="49"/>
    </row>
    <row r="14" spans="2:19" ht="12.75">
      <c r="B14" s="15" t="s">
        <v>5</v>
      </c>
      <c r="C14" s="31">
        <f>C16/100</f>
        <v>0.5</v>
      </c>
      <c r="D14" s="12"/>
      <c r="E14" s="14"/>
      <c r="K14" s="174"/>
      <c r="O14" s="35" t="s">
        <v>92</v>
      </c>
      <c r="P14" s="36">
        <f>IF(J18=4,P13^2,1)*P6/P4</f>
        <v>0.075625</v>
      </c>
      <c r="Q14" s="49"/>
      <c r="R14" s="49"/>
      <c r="S14" s="49"/>
    </row>
    <row r="15" spans="2:19" ht="13.5" thickBot="1">
      <c r="B15" s="13"/>
      <c r="C15" s="14"/>
      <c r="D15" s="12"/>
      <c r="E15" s="14"/>
      <c r="O15" s="35" t="s">
        <v>93</v>
      </c>
      <c r="P15" s="36">
        <f>IF(J18=4,P12^2,0)*P6/P3</f>
        <v>0</v>
      </c>
      <c r="Q15" s="49"/>
      <c r="R15" s="49"/>
      <c r="S15" s="49"/>
    </row>
    <row r="16" spans="2:19" ht="13.5" thickTop="1">
      <c r="B16" s="13"/>
      <c r="C16" s="11">
        <v>50</v>
      </c>
      <c r="D16" s="12"/>
      <c r="E16" s="14"/>
      <c r="F16" s="20"/>
      <c r="G16" s="156" t="str">
        <f>CHOOSE(J18,"paired sampling","independent, equal sample sizes","independent, unequal sample sizes","paired &amp; independent (at 2nd time)")</f>
        <v>independent, unequal sample sizes</v>
      </c>
      <c r="H16" s="157"/>
      <c r="I16" s="157"/>
      <c r="J16" s="166" t="s">
        <v>39</v>
      </c>
      <c r="K16" s="166"/>
      <c r="L16" s="167"/>
      <c r="M16" s="105"/>
      <c r="O16" s="35" t="s">
        <v>90</v>
      </c>
      <c r="P16" s="36">
        <f>IF(J18=4,P12,1)*(-2*P8*SQRT(P5*P6)/P3)</f>
        <v>0</v>
      </c>
      <c r="Q16" s="49"/>
      <c r="R16" s="49"/>
      <c r="S16" s="49"/>
    </row>
    <row r="17" spans="2:19" ht="12.75" customHeight="1" thickBot="1">
      <c r="B17" s="23"/>
      <c r="C17" s="24"/>
      <c r="D17" s="18"/>
      <c r="F17" s="13"/>
      <c r="G17" s="158"/>
      <c r="H17" s="158"/>
      <c r="I17" s="158"/>
      <c r="J17" s="29"/>
      <c r="K17" s="14"/>
      <c r="L17" s="12"/>
      <c r="M17" s="105"/>
      <c r="N17" s="106"/>
      <c r="O17" s="35" t="s">
        <v>20</v>
      </c>
      <c r="P17" s="36">
        <f>SQRT(P9+P14+P15+P16)</f>
        <v>2.217120880782101</v>
      </c>
      <c r="Q17" s="49"/>
      <c r="R17" s="49"/>
      <c r="S17" s="49"/>
    </row>
    <row r="18" spans="2:19" ht="12.75" customHeight="1" thickTop="1">
      <c r="B18" s="20"/>
      <c r="C18" s="21"/>
      <c r="D18" s="9"/>
      <c r="F18" s="13"/>
      <c r="G18" s="158"/>
      <c r="H18" s="158"/>
      <c r="I18" s="158"/>
      <c r="J18" s="11">
        <v>3</v>
      </c>
      <c r="K18" s="14"/>
      <c r="L18" s="12"/>
      <c r="M18" s="105"/>
      <c r="O18" s="35" t="s">
        <v>13</v>
      </c>
      <c r="P18" s="36">
        <f>CHOOSE(J18,P3-1,P7,P7,(1/P10+1/P11)^2/(1/(P10^2*(P3-1))+1/(P11^2*(P7))))</f>
        <v>24.755495836820998</v>
      </c>
      <c r="Q18" s="49"/>
      <c r="R18" s="49"/>
      <c r="S18" s="49"/>
    </row>
    <row r="19" spans="2:19" ht="12.75">
      <c r="B19" s="13"/>
      <c r="D19" s="12"/>
      <c r="F19" s="43"/>
      <c r="G19" s="40"/>
      <c r="I19" s="14"/>
      <c r="J19" s="14"/>
      <c r="K19" s="14"/>
      <c r="L19" s="12"/>
      <c r="M19" s="105"/>
      <c r="O19" s="35" t="s">
        <v>17</v>
      </c>
      <c r="P19" s="111">
        <f>C4</f>
        <v>2.063898547318068</v>
      </c>
      <c r="Q19" s="49"/>
      <c r="R19" s="49"/>
      <c r="S19" s="49"/>
    </row>
    <row r="20" spans="2:23" ht="12.75" customHeight="1">
      <c r="B20" s="13"/>
      <c r="D20" s="12"/>
      <c r="E20" s="4"/>
      <c r="F20" s="13"/>
      <c r="G20" s="159" t="s">
        <v>7</v>
      </c>
      <c r="H20" s="160"/>
      <c r="I20" s="154">
        <f>H21/100</f>
        <v>0.4</v>
      </c>
      <c r="J20" s="14"/>
      <c r="K20" s="14"/>
      <c r="L20" s="12"/>
      <c r="M20" s="105"/>
      <c r="O20" s="35" t="s">
        <v>19</v>
      </c>
      <c r="P20" s="106">
        <f>ABS(C13-C12)/P17</f>
        <v>2.255176992531063</v>
      </c>
      <c r="Q20" s="49"/>
      <c r="R20" s="49"/>
      <c r="S20" s="49"/>
      <c r="W20" s="7"/>
    </row>
    <row r="21" spans="2:23" ht="12.75">
      <c r="B21" s="13"/>
      <c r="D21" s="12"/>
      <c r="F21" s="13"/>
      <c r="G21" s="41" t="s">
        <v>2</v>
      </c>
      <c r="H21" s="151">
        <v>40</v>
      </c>
      <c r="I21" s="42"/>
      <c r="J21" s="14"/>
      <c r="K21" s="14"/>
      <c r="L21" s="12"/>
      <c r="M21" s="105"/>
      <c r="O21" s="35" t="s">
        <v>21</v>
      </c>
      <c r="P21" s="36">
        <f>P19*(1-1/(4*P18))^2-P20</f>
        <v>-0.23275362197645144</v>
      </c>
      <c r="Q21" s="49"/>
      <c r="R21" s="49"/>
      <c r="S21" s="49"/>
      <c r="W21" s="7"/>
    </row>
    <row r="22" spans="2:23" ht="12.75">
      <c r="B22" s="155" t="str">
        <f>IF(C24=0,"constant SD",IF(C24=1,"different SDs",IF(C24=2,"SDs proportional to mean","variances proportional to mean")))</f>
        <v>SDs proportional to mean</v>
      </c>
      <c r="C22" s="162" t="s">
        <v>39</v>
      </c>
      <c r="D22" s="163"/>
      <c r="F22" s="32"/>
      <c r="G22" s="14"/>
      <c r="H22" s="14"/>
      <c r="I22" s="14"/>
      <c r="J22" s="14"/>
      <c r="K22" s="14"/>
      <c r="L22" s="12"/>
      <c r="M22" s="105"/>
      <c r="O22" s="35" t="s">
        <v>22</v>
      </c>
      <c r="P22" s="112">
        <f>SQRT(1+P19^2/(2*P18))</f>
        <v>1.0421300210199045</v>
      </c>
      <c r="Q22" s="49"/>
      <c r="R22" s="49"/>
      <c r="S22" s="49"/>
      <c r="W22" s="7"/>
    </row>
    <row r="23" spans="2:23" ht="12.75" customHeight="1">
      <c r="B23" s="155"/>
      <c r="C23" s="164"/>
      <c r="D23" s="163"/>
      <c r="F23" s="34" t="s">
        <v>37</v>
      </c>
      <c r="G23" s="33">
        <f>G24</f>
        <v>25</v>
      </c>
      <c r="H23" s="14"/>
      <c r="I23" s="14"/>
      <c r="J23" s="14"/>
      <c r="K23" s="37" t="s">
        <v>36</v>
      </c>
      <c r="L23" s="44">
        <f>IF(J18=3,L24,G23)</f>
        <v>400</v>
      </c>
      <c r="M23" s="105"/>
      <c r="Q23" s="49"/>
      <c r="R23" s="49"/>
      <c r="S23" s="49"/>
      <c r="W23" s="7"/>
    </row>
    <row r="24" spans="2:19" ht="12.75" customHeight="1">
      <c r="B24" s="155"/>
      <c r="C24" s="11">
        <v>2</v>
      </c>
      <c r="D24" s="12"/>
      <c r="F24" s="13"/>
      <c r="G24" s="11">
        <v>25</v>
      </c>
      <c r="H24" s="14"/>
      <c r="I24" s="14"/>
      <c r="J24" s="14"/>
      <c r="K24" s="38"/>
      <c r="L24" s="45">
        <v>400</v>
      </c>
      <c r="M24" s="105"/>
      <c r="Q24" s="49"/>
      <c r="R24" s="49"/>
      <c r="S24" s="49"/>
    </row>
    <row r="25" spans="2:19" ht="12.75">
      <c r="B25" s="13"/>
      <c r="C25" s="14"/>
      <c r="D25" s="12"/>
      <c r="F25" s="13"/>
      <c r="G25" s="14"/>
      <c r="H25" s="14"/>
      <c r="I25" s="14"/>
      <c r="J25" s="14"/>
      <c r="K25" s="38"/>
      <c r="L25" s="12"/>
      <c r="M25" s="107"/>
      <c r="N25" s="108"/>
      <c r="Q25" s="49"/>
      <c r="R25" s="49"/>
      <c r="S25" s="49"/>
    </row>
    <row r="26" spans="2:19" ht="12.75">
      <c r="B26" s="13"/>
      <c r="D26" s="12"/>
      <c r="F26" s="13"/>
      <c r="G26" s="14"/>
      <c r="H26" s="14"/>
      <c r="I26" s="14"/>
      <c r="J26" s="14"/>
      <c r="K26" s="113" t="s">
        <v>38</v>
      </c>
      <c r="L26" s="114">
        <f>L27</f>
        <v>345</v>
      </c>
      <c r="M26" s="109"/>
      <c r="N26" s="108"/>
      <c r="Q26" s="165" t="s">
        <v>45</v>
      </c>
      <c r="R26" s="165"/>
      <c r="S26" s="49"/>
    </row>
    <row r="27" spans="2:19" ht="12.75">
      <c r="B27" s="26" t="str">
        <f>IF(C24=0,"estimate of SD",IF(C24=1,"sample 1 SD:",IF(C24=2,"ratio of SD/mean:","ratio of Var/mean:")))</f>
        <v>ratio of SD/mean:</v>
      </c>
      <c r="C27" s="16">
        <v>1.1</v>
      </c>
      <c r="D27" s="12"/>
      <c r="F27" s="13"/>
      <c r="G27" s="46"/>
      <c r="H27" s="14"/>
      <c r="I27" s="14"/>
      <c r="J27" s="14"/>
      <c r="K27" s="2"/>
      <c r="L27" s="48">
        <v>345</v>
      </c>
      <c r="M27" s="109"/>
      <c r="N27" s="110"/>
      <c r="Q27" s="49">
        <f>graphs!D8</f>
        <v>2.217120880782101</v>
      </c>
      <c r="R27" s="49"/>
      <c r="S27" s="49"/>
    </row>
    <row r="28" spans="2:19" ht="12.75" customHeight="1" thickBot="1">
      <c r="B28" s="27" t="str">
        <f>IF(C24=1,"Sample 2 SD:"," ")</f>
        <v> </v>
      </c>
      <c r="C28" s="28">
        <v>5</v>
      </c>
      <c r="D28" s="12"/>
      <c r="F28" s="23"/>
      <c r="G28" s="47"/>
      <c r="H28" s="24"/>
      <c r="I28" s="24"/>
      <c r="J28" s="24"/>
      <c r="K28" s="24"/>
      <c r="L28" s="18"/>
      <c r="M28" s="105"/>
      <c r="Q28" s="49"/>
      <c r="R28" s="49"/>
      <c r="S28" s="49"/>
    </row>
    <row r="29" spans="2:19" ht="13.5" thickTop="1">
      <c r="B29" s="21"/>
      <c r="C29" s="21"/>
      <c r="D29" s="21"/>
      <c r="F29" s="39"/>
      <c r="Q29" s="49">
        <f>ABS(C13-C12)/Q27</f>
        <v>2.255176992531063</v>
      </c>
      <c r="R29" s="49"/>
      <c r="S29" s="49"/>
    </row>
    <row r="30" spans="1:19" ht="12.75">
      <c r="A30" s="1"/>
      <c r="B30" s="14"/>
      <c r="C30" s="14"/>
      <c r="D30" s="14"/>
      <c r="Q30" s="49"/>
      <c r="R30" s="49"/>
      <c r="S30" s="49"/>
    </row>
    <row r="31" spans="1:19" ht="12.75">
      <c r="A31" s="1"/>
      <c r="Q31" s="49"/>
      <c r="R31" s="49"/>
      <c r="S31" s="49"/>
    </row>
    <row r="32" spans="2:19" ht="12.75">
      <c r="B32" s="3"/>
      <c r="C32" s="4"/>
      <c r="Q32" s="49"/>
      <c r="R32" s="49"/>
      <c r="S32" s="49"/>
    </row>
    <row r="33" spans="17:19" ht="12.75">
      <c r="Q33" s="49"/>
      <c r="R33" s="49"/>
      <c r="S33" s="49"/>
    </row>
  </sheetData>
  <sheetProtection sheet="1" objects="1" scenarios="1"/>
  <mergeCells count="10">
    <mergeCell ref="Q26:R26"/>
    <mergeCell ref="J16:L16"/>
    <mergeCell ref="H2:L3"/>
    <mergeCell ref="K12:K14"/>
    <mergeCell ref="H4:L10"/>
    <mergeCell ref="B22:B24"/>
    <mergeCell ref="G16:I18"/>
    <mergeCell ref="G20:H20"/>
    <mergeCell ref="H13:J13"/>
    <mergeCell ref="C22:D23"/>
  </mergeCells>
  <conditionalFormatting sqref="B28">
    <cfRule type="expression" priority="1" dxfId="0" stopIfTrue="1">
      <formula>$C24=1</formula>
    </cfRule>
  </conditionalFormatting>
  <conditionalFormatting sqref="C28">
    <cfRule type="expression" priority="2" dxfId="1" stopIfTrue="1">
      <formula>$C$24=1</formula>
    </cfRule>
  </conditionalFormatting>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8"/>
  <dimension ref="A2:O200"/>
  <sheetViews>
    <sheetView zoomScale="136" zoomScaleNormal="136" workbookViewId="0" topLeftCell="A1">
      <selection activeCell="C15" sqref="C15"/>
    </sheetView>
  </sheetViews>
  <sheetFormatPr defaultColWidth="9.140625" defaultRowHeight="12.75"/>
  <cols>
    <col min="1" max="1" width="10.7109375" style="0" customWidth="1"/>
    <col min="2" max="2" width="4.57421875" style="0" customWidth="1"/>
    <col min="3" max="3" width="6.28125" style="0" customWidth="1"/>
    <col min="4" max="4" width="6.421875" style="0" customWidth="1"/>
    <col min="5" max="5" width="6.140625" style="0" customWidth="1"/>
    <col min="6" max="6" width="5.00390625" style="0" customWidth="1"/>
    <col min="8" max="8" width="5.421875" style="137" customWidth="1"/>
    <col min="9" max="9" width="15.57421875" style="0" customWidth="1"/>
    <col min="10" max="10" width="8.7109375" style="0" customWidth="1"/>
    <col min="11" max="11" width="7.421875" style="0" customWidth="1"/>
    <col min="12" max="12" width="7.140625" style="0" customWidth="1"/>
    <col min="13" max="14" width="4.7109375" style="0" customWidth="1"/>
  </cols>
  <sheetData>
    <row r="1" ht="13.5" thickBot="1"/>
    <row r="2" spans="8:11" ht="13.5" thickBot="1">
      <c r="H2" s="187" t="s">
        <v>114</v>
      </c>
      <c r="I2" s="189"/>
      <c r="J2" s="189"/>
      <c r="K2" s="190"/>
    </row>
    <row r="3" spans="2:12" ht="25.5">
      <c r="B3" s="136"/>
      <c r="C3" s="136"/>
      <c r="D3" s="96" t="s">
        <v>117</v>
      </c>
      <c r="E3" s="96" t="s">
        <v>113</v>
      </c>
      <c r="F3" s="187" t="s">
        <v>107</v>
      </c>
      <c r="G3" s="188"/>
      <c r="H3" s="138"/>
      <c r="I3" s="14"/>
      <c r="J3" s="14"/>
      <c r="K3" s="139" t="s">
        <v>116</v>
      </c>
      <c r="L3" s="96" t="s">
        <v>104</v>
      </c>
    </row>
    <row r="4" spans="2:15" ht="13.5" thickBot="1">
      <c r="B4" s="140" t="s">
        <v>119</v>
      </c>
      <c r="C4" s="140" t="s">
        <v>0</v>
      </c>
      <c r="D4" s="140" t="s">
        <v>120</v>
      </c>
      <c r="E4" s="140" t="s">
        <v>85</v>
      </c>
      <c r="F4" s="141" t="s">
        <v>121</v>
      </c>
      <c r="G4" s="142" t="s">
        <v>122</v>
      </c>
      <c r="H4" s="143" t="s">
        <v>126</v>
      </c>
      <c r="I4" s="140" t="s">
        <v>123</v>
      </c>
      <c r="J4" s="140" t="s">
        <v>124</v>
      </c>
      <c r="K4" s="142" t="s">
        <v>125</v>
      </c>
      <c r="L4" s="144" t="s">
        <v>126</v>
      </c>
      <c r="M4" s="140" t="s">
        <v>9</v>
      </c>
      <c r="N4" s="140" t="s">
        <v>10</v>
      </c>
      <c r="O4" s="145" t="s">
        <v>118</v>
      </c>
    </row>
    <row r="5" ht="13.5" thickTop="1">
      <c r="H5"/>
    </row>
    <row r="6" ht="12.75">
      <c r="H6"/>
    </row>
    <row r="7" ht="12.75">
      <c r="H7"/>
    </row>
    <row r="8" ht="12.75">
      <c r="H8"/>
    </row>
    <row r="9" ht="12.75">
      <c r="H9"/>
    </row>
    <row r="10" spans="1:8" ht="12.75">
      <c r="A10" s="136">
        <f>MAX(B5:B201)</f>
        <v>0</v>
      </c>
      <c r="H10"/>
    </row>
    <row r="11" ht="12.75">
      <c r="H11"/>
    </row>
    <row r="12" ht="12.75">
      <c r="H12"/>
    </row>
    <row r="13" ht="12.75">
      <c r="H13"/>
    </row>
    <row r="14" ht="12.75">
      <c r="H14"/>
    </row>
    <row r="15" ht="12.75">
      <c r="H15"/>
    </row>
    <row r="16" ht="12.75">
      <c r="H16"/>
    </row>
    <row r="17" ht="12.75">
      <c r="H17"/>
    </row>
    <row r="18" ht="12.75">
      <c r="H18"/>
    </row>
    <row r="19" ht="12.75">
      <c r="H19"/>
    </row>
    <row r="20" ht="12.75">
      <c r="H20"/>
    </row>
    <row r="21" ht="12.75">
      <c r="H21"/>
    </row>
    <row r="22" ht="12.75">
      <c r="H22"/>
    </row>
    <row r="23" ht="12.75">
      <c r="H23"/>
    </row>
    <row r="24" ht="12.75">
      <c r="H24"/>
    </row>
    <row r="25" ht="12.75">
      <c r="H25"/>
    </row>
    <row r="26" ht="12.75">
      <c r="H26"/>
    </row>
    <row r="27" ht="12.75">
      <c r="H27"/>
    </row>
    <row r="28" ht="12.75">
      <c r="H28"/>
    </row>
    <row r="29" ht="12.75">
      <c r="H29"/>
    </row>
    <row r="30" ht="12.75">
      <c r="H30"/>
    </row>
    <row r="31" ht="12.75">
      <c r="H31"/>
    </row>
    <row r="32" ht="12.75">
      <c r="H32"/>
    </row>
    <row r="33" ht="12.75">
      <c r="H33"/>
    </row>
    <row r="34" ht="12.75">
      <c r="H34"/>
    </row>
    <row r="35" ht="12.75">
      <c r="H35"/>
    </row>
    <row r="36" ht="12.75">
      <c r="H36"/>
    </row>
    <row r="37" ht="12.75">
      <c r="H37"/>
    </row>
    <row r="38" ht="12.75">
      <c r="H38"/>
    </row>
    <row r="39" ht="12.75">
      <c r="H39"/>
    </row>
    <row r="40" ht="12.75">
      <c r="H40"/>
    </row>
    <row r="41" ht="12.75">
      <c r="H41"/>
    </row>
    <row r="42" ht="12.75">
      <c r="H42"/>
    </row>
    <row r="43" ht="12.75">
      <c r="H43"/>
    </row>
    <row r="44" ht="12.75">
      <c r="H44"/>
    </row>
    <row r="45" ht="12.75">
      <c r="H45"/>
    </row>
    <row r="46" ht="12.75">
      <c r="H46"/>
    </row>
    <row r="47" ht="12.75">
      <c r="H47"/>
    </row>
    <row r="48" ht="12.75">
      <c r="H48"/>
    </row>
    <row r="49" ht="12.75">
      <c r="H49"/>
    </row>
    <row r="50" ht="12.75">
      <c r="H50"/>
    </row>
    <row r="51" ht="12.75">
      <c r="H51"/>
    </row>
    <row r="52" ht="12.75">
      <c r="H52"/>
    </row>
    <row r="53" ht="12.75">
      <c r="H53"/>
    </row>
    <row r="54" ht="12.75">
      <c r="H54"/>
    </row>
    <row r="55" ht="12.75">
      <c r="H55"/>
    </row>
    <row r="56" ht="12.75">
      <c r="H56"/>
    </row>
    <row r="57" ht="12.75">
      <c r="H57"/>
    </row>
    <row r="58" ht="12.75">
      <c r="H58"/>
    </row>
    <row r="59" ht="12.75">
      <c r="H59"/>
    </row>
    <row r="60" ht="12.75">
      <c r="H60"/>
    </row>
    <row r="61" ht="12.75">
      <c r="H61"/>
    </row>
    <row r="62" ht="12.75">
      <c r="H62"/>
    </row>
    <row r="63" ht="12.75">
      <c r="H63"/>
    </row>
    <row r="64" ht="12.75">
      <c r="H64"/>
    </row>
    <row r="65" ht="12.75">
      <c r="H65"/>
    </row>
    <row r="66" ht="12.75">
      <c r="H66"/>
    </row>
    <row r="67" ht="12.75">
      <c r="H67"/>
    </row>
    <row r="68" ht="12.75">
      <c r="H68"/>
    </row>
    <row r="69" ht="12.75">
      <c r="H69"/>
    </row>
    <row r="70" ht="12.75">
      <c r="H70"/>
    </row>
    <row r="71" ht="12.75">
      <c r="H71"/>
    </row>
    <row r="72" ht="12.75">
      <c r="H72"/>
    </row>
    <row r="73" ht="12.75">
      <c r="H73"/>
    </row>
    <row r="74" ht="12.75">
      <c r="H74"/>
    </row>
    <row r="75" ht="12.75">
      <c r="H75"/>
    </row>
    <row r="76" ht="12.75">
      <c r="H76"/>
    </row>
    <row r="77" ht="12.75">
      <c r="H77"/>
    </row>
    <row r="78" ht="12.75">
      <c r="H78"/>
    </row>
    <row r="79" ht="12.75">
      <c r="H79"/>
    </row>
    <row r="80" ht="12.75">
      <c r="H80"/>
    </row>
    <row r="81" ht="12.75">
      <c r="H81"/>
    </row>
    <row r="82" ht="12.75">
      <c r="H82"/>
    </row>
    <row r="83" ht="12.75">
      <c r="H83"/>
    </row>
    <row r="84" ht="12.75">
      <c r="H84"/>
    </row>
    <row r="85" ht="12.75">
      <c r="H85"/>
    </row>
    <row r="86" ht="12.75">
      <c r="H86"/>
    </row>
    <row r="87" ht="12.75">
      <c r="H87"/>
    </row>
    <row r="88" ht="12.75">
      <c r="H88"/>
    </row>
    <row r="89" ht="12.75">
      <c r="H89"/>
    </row>
    <row r="90" ht="12.75">
      <c r="H90"/>
    </row>
    <row r="91" ht="12.75">
      <c r="H91"/>
    </row>
    <row r="92" ht="12.75">
      <c r="H92"/>
    </row>
    <row r="93" ht="12.75">
      <c r="H93"/>
    </row>
    <row r="94" ht="12.75">
      <c r="H94"/>
    </row>
    <row r="95" ht="12.75">
      <c r="H95"/>
    </row>
    <row r="96" ht="12.75">
      <c r="H96"/>
    </row>
    <row r="97" ht="12.75">
      <c r="H97"/>
    </row>
    <row r="98" ht="12.75">
      <c r="H98"/>
    </row>
    <row r="99" ht="12.75">
      <c r="H99"/>
    </row>
    <row r="100" ht="12.75">
      <c r="H100"/>
    </row>
    <row r="101" ht="12.75">
      <c r="H101"/>
    </row>
    <row r="102" ht="12.75">
      <c r="H102"/>
    </row>
    <row r="103" ht="12.75">
      <c r="H103"/>
    </row>
    <row r="104" ht="12.75">
      <c r="H104"/>
    </row>
    <row r="105" ht="12.75">
      <c r="H105"/>
    </row>
    <row r="106" ht="12.75">
      <c r="H106"/>
    </row>
    <row r="107" ht="12.75">
      <c r="H107"/>
    </row>
    <row r="108" ht="12.75">
      <c r="H108"/>
    </row>
    <row r="109" ht="12.75">
      <c r="H109"/>
    </row>
    <row r="110" ht="12.75">
      <c r="H110"/>
    </row>
    <row r="111" ht="12.75">
      <c r="H111"/>
    </row>
    <row r="112" ht="12.75">
      <c r="H112"/>
    </row>
    <row r="113" ht="12.75">
      <c r="H113"/>
    </row>
    <row r="114" ht="12.75">
      <c r="H114"/>
    </row>
    <row r="115" ht="12.75">
      <c r="H115"/>
    </row>
    <row r="116" ht="12.75">
      <c r="H116"/>
    </row>
    <row r="117" ht="12.75">
      <c r="H117"/>
    </row>
    <row r="118" ht="12.75">
      <c r="H118"/>
    </row>
    <row r="119" ht="12.75">
      <c r="H119"/>
    </row>
    <row r="120" ht="12.75">
      <c r="H120"/>
    </row>
    <row r="121" ht="12.75">
      <c r="H121"/>
    </row>
    <row r="122" ht="12.75">
      <c r="H122"/>
    </row>
    <row r="123" ht="12.75">
      <c r="H123"/>
    </row>
    <row r="124" ht="12.75">
      <c r="H124"/>
    </row>
    <row r="125" ht="12.75">
      <c r="H125"/>
    </row>
    <row r="126" ht="12.75">
      <c r="H126"/>
    </row>
    <row r="127" ht="12.75">
      <c r="H127"/>
    </row>
    <row r="128" ht="12.75">
      <c r="H128"/>
    </row>
    <row r="129" ht="12.75">
      <c r="H129"/>
    </row>
    <row r="130" ht="12.75">
      <c r="H130"/>
    </row>
    <row r="131" ht="12.75">
      <c r="H131"/>
    </row>
    <row r="132" ht="12.75">
      <c r="H132"/>
    </row>
    <row r="133" ht="12.75">
      <c r="H133"/>
    </row>
    <row r="134" ht="12.75">
      <c r="H134"/>
    </row>
    <row r="135" ht="12.75">
      <c r="H135"/>
    </row>
    <row r="136" ht="12.75">
      <c r="H136"/>
    </row>
    <row r="137" ht="12.75">
      <c r="H137"/>
    </row>
    <row r="138" ht="12.75">
      <c r="H138"/>
    </row>
    <row r="139" ht="12.75">
      <c r="H139"/>
    </row>
    <row r="140" ht="12.75">
      <c r="H140"/>
    </row>
    <row r="141" ht="12.75">
      <c r="H141"/>
    </row>
    <row r="142" ht="12.75">
      <c r="H142"/>
    </row>
    <row r="143" ht="12.75">
      <c r="H143"/>
    </row>
    <row r="144" ht="12.75">
      <c r="H144"/>
    </row>
    <row r="145" ht="12.75">
      <c r="H145"/>
    </row>
    <row r="146" ht="12.75">
      <c r="H146"/>
    </row>
    <row r="147" ht="12.75">
      <c r="H147"/>
    </row>
    <row r="148" ht="12.75">
      <c r="H148"/>
    </row>
    <row r="149" ht="12.75">
      <c r="H149"/>
    </row>
    <row r="150" ht="12.75">
      <c r="H150"/>
    </row>
    <row r="151" ht="12.75">
      <c r="H151"/>
    </row>
    <row r="152" ht="12.75">
      <c r="H152"/>
    </row>
    <row r="153" ht="12.75">
      <c r="H153"/>
    </row>
    <row r="154" ht="12.75">
      <c r="H154"/>
    </row>
    <row r="155" ht="12.75">
      <c r="H155"/>
    </row>
    <row r="156" ht="12.75">
      <c r="H156"/>
    </row>
    <row r="157" ht="12.75">
      <c r="H157"/>
    </row>
    <row r="158" ht="12.75">
      <c r="H158"/>
    </row>
    <row r="159" ht="12.75">
      <c r="H159"/>
    </row>
    <row r="160" ht="12.75">
      <c r="H160"/>
    </row>
    <row r="161" ht="12.75">
      <c r="H161"/>
    </row>
    <row r="162" ht="12.75">
      <c r="H162"/>
    </row>
    <row r="163" ht="12.75">
      <c r="H163"/>
    </row>
    <row r="164" ht="12.75">
      <c r="H164"/>
    </row>
    <row r="165" ht="12.75">
      <c r="H165"/>
    </row>
    <row r="166" ht="12.75">
      <c r="H166"/>
    </row>
    <row r="167" ht="12.75">
      <c r="H167"/>
    </row>
    <row r="168" ht="12.75">
      <c r="H168"/>
    </row>
    <row r="169" ht="12.75">
      <c r="H169"/>
    </row>
    <row r="170" ht="12.75">
      <c r="H170"/>
    </row>
    <row r="171" ht="12.75">
      <c r="H171"/>
    </row>
    <row r="172" ht="12.75">
      <c r="H172"/>
    </row>
    <row r="173" ht="12.75">
      <c r="H173"/>
    </row>
    <row r="174" ht="12.75">
      <c r="H174"/>
    </row>
    <row r="175" ht="12.75">
      <c r="H175"/>
    </row>
    <row r="176" ht="12.75">
      <c r="H176"/>
    </row>
    <row r="177" ht="12.75">
      <c r="H177"/>
    </row>
    <row r="178" ht="12.75">
      <c r="H178"/>
    </row>
    <row r="179" ht="12.75">
      <c r="H179"/>
    </row>
    <row r="180" ht="12.75">
      <c r="H180"/>
    </row>
    <row r="181" ht="12.75">
      <c r="H181"/>
    </row>
    <row r="182" ht="12.75">
      <c r="H182"/>
    </row>
    <row r="183" ht="12.75">
      <c r="H183"/>
    </row>
    <row r="184" ht="12.75">
      <c r="H184"/>
    </row>
    <row r="185" ht="12.75">
      <c r="H185"/>
    </row>
    <row r="186" ht="12.75">
      <c r="H186"/>
    </row>
    <row r="187" ht="12.75">
      <c r="H187"/>
    </row>
    <row r="188" ht="12.75">
      <c r="H188"/>
    </row>
    <row r="189" ht="12.75">
      <c r="H189"/>
    </row>
    <row r="190" ht="12.75">
      <c r="H190"/>
    </row>
    <row r="191" ht="12.75">
      <c r="H191"/>
    </row>
    <row r="192" ht="12.75">
      <c r="H192"/>
    </row>
    <row r="193" ht="12.75">
      <c r="H193"/>
    </row>
    <row r="194" ht="12.75">
      <c r="H194"/>
    </row>
    <row r="195" ht="12.75">
      <c r="H195"/>
    </row>
    <row r="196" ht="12.75">
      <c r="H196"/>
    </row>
    <row r="197" ht="12.75">
      <c r="H197"/>
    </row>
    <row r="198" ht="12.75">
      <c r="H198"/>
    </row>
    <row r="199" ht="12.75">
      <c r="H199"/>
    </row>
    <row r="200" ht="12.75">
      <c r="H200"/>
    </row>
  </sheetData>
  <sheetProtection sheet="1" objects="1" scenarios="1"/>
  <mergeCells count="2">
    <mergeCell ref="F3:G3"/>
    <mergeCell ref="H2:K2"/>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7"/>
  <dimension ref="B1:AD51"/>
  <sheetViews>
    <sheetView showGridLines="0" showRowColHeaders="0" zoomScale="147" zoomScaleNormal="147" workbookViewId="0" topLeftCell="A1">
      <selection activeCell="A1" sqref="A1"/>
    </sheetView>
  </sheetViews>
  <sheetFormatPr defaultColWidth="9.140625" defaultRowHeight="12.75"/>
  <cols>
    <col min="1" max="1" width="4.7109375" style="0" customWidth="1"/>
    <col min="4" max="4" width="13.7109375" style="96" customWidth="1"/>
    <col min="12" max="29" width="9.140625" style="49" customWidth="1"/>
    <col min="30" max="30" width="12.421875" style="49" bestFit="1" customWidth="1"/>
    <col min="31" max="33" width="9.140625" style="49" customWidth="1"/>
  </cols>
  <sheetData>
    <row r="1" spans="13:30" ht="12.75">
      <c r="M1" s="49" t="s">
        <v>94</v>
      </c>
      <c r="N1" s="49" t="s">
        <v>127</v>
      </c>
      <c r="O1" s="58" t="s">
        <v>12</v>
      </c>
      <c r="P1" s="58" t="s">
        <v>97</v>
      </c>
      <c r="Q1" s="58" t="s">
        <v>27</v>
      </c>
      <c r="R1" s="58" t="s">
        <v>25</v>
      </c>
      <c r="S1" s="58" t="s">
        <v>26</v>
      </c>
      <c r="T1" s="58" t="s">
        <v>23</v>
      </c>
      <c r="U1" s="58" t="s">
        <v>24</v>
      </c>
      <c r="V1" s="58" t="s">
        <v>99</v>
      </c>
      <c r="W1" s="58" t="s">
        <v>98</v>
      </c>
      <c r="X1" s="58" t="s">
        <v>100</v>
      </c>
      <c r="Y1" s="58" t="s">
        <v>20</v>
      </c>
      <c r="Z1" s="58" t="s">
        <v>13</v>
      </c>
      <c r="AA1" s="58" t="s">
        <v>19</v>
      </c>
      <c r="AB1" s="58" t="s">
        <v>21</v>
      </c>
      <c r="AC1" s="58" t="s">
        <v>22</v>
      </c>
      <c r="AD1" s="58" t="s">
        <v>1</v>
      </c>
    </row>
    <row r="2" spans="12:30" ht="12.75">
      <c r="L2" s="58" t="s">
        <v>89</v>
      </c>
      <c r="M2" s="49">
        <f>main!P1</f>
        <v>0</v>
      </c>
      <c r="N2" s="49">
        <f>H28</f>
        <v>4</v>
      </c>
      <c r="O2" s="49">
        <f>IF(main!C$24=0,main!C$27^2,IF(main!C$24=1,main!C$28^2,IF(main!C$24=2,(N2*main!C$27)^2,N2*main!C$27)))</f>
        <v>19.360000000000003</v>
      </c>
      <c r="P2" s="49">
        <f>O2/M$5</f>
        <v>0.048400000000000006</v>
      </c>
      <c r="Q2" s="49">
        <f>(M$11+P2)^2/(M$11^2/(M$4-1)+P2^2/(M$5-1))</f>
        <v>24.482252738329393</v>
      </c>
      <c r="R2" s="49">
        <f>M$4/(M$6+O2-2*M$7*SQRT(M$6*O2))</f>
        <v>0.1781134226275292</v>
      </c>
      <c r="S2" s="49">
        <f>(M$11+O2)^-1</f>
        <v>0.04132231404958677</v>
      </c>
      <c r="T2" s="49">
        <f>R2/(R2+S2)</f>
        <v>0.8116883116883117</v>
      </c>
      <c r="U2" s="49">
        <f>1-T2</f>
        <v>0.18831168831168832</v>
      </c>
      <c r="V2" s="49">
        <f>IF(main!J$18=4,U2^2,1)*P2</f>
        <v>0.048400000000000006</v>
      </c>
      <c r="W2" s="49">
        <f>IF(main!J$18=4,T2^2,0)*O2/M$4</f>
        <v>0</v>
      </c>
      <c r="X2" s="49">
        <f>IF(main!J$18=4,T2,1)*(-2*M$7*SQRT(M$6*O2)/M$4)</f>
        <v>0</v>
      </c>
      <c r="Y2" s="49">
        <f>SQRT(M$11+V2+W2+X2)</f>
        <v>2.210972636646596</v>
      </c>
      <c r="Z2" s="49">
        <f>CHOOSE(main!J$18,M$4-1,Q2,Q2,(1/R2+1/S2)^2/(1/(R2^2*(M$4-1))+1/(S2^2*(Q2))))</f>
        <v>24.482252738329393</v>
      </c>
      <c r="AA2" s="49">
        <f>ABS(N2-M$9)/Y2</f>
        <v>2.7137377914817886</v>
      </c>
      <c r="AB2" s="49">
        <f>M$8*(1-1/(4*Z2))^2-AA2</f>
        <v>-0.6917749443081682</v>
      </c>
      <c r="AC2" s="49">
        <f>SQRT(1+M$8^2/(2*Z2))</f>
        <v>1.0425906221755536</v>
      </c>
      <c r="AD2" s="152">
        <f>1-NORMSDIST(AB2/AC2)</f>
        <v>0.7464997433595766</v>
      </c>
    </row>
    <row r="3" spans="12:30" ht="12.75">
      <c r="L3" s="58" t="s">
        <v>18</v>
      </c>
      <c r="M3" s="49">
        <f>main!P2</f>
        <v>2</v>
      </c>
      <c r="N3" s="49">
        <f>N2+M$10</f>
        <v>4.122448979591836</v>
      </c>
      <c r="O3" s="49">
        <f>IF(main!C$24=0,main!C$27^2,IF(main!C$24=1,main!C$28^2,IF(main!C$24=2,(N3*main!C$27)^2,N3*main!C$27)))</f>
        <v>20.563448563098707</v>
      </c>
      <c r="P3" s="49">
        <f aca="true" t="shared" si="0" ref="P3:P50">O3/M$5</f>
        <v>0.05140862140774677</v>
      </c>
      <c r="Q3" s="49">
        <f aca="true" t="shared" si="1" ref="Q3:Q51">(M$11+P3)^2/(M$11^2/(M$4-1)+P3^2/(M$5-1))</f>
        <v>24.51237887393182</v>
      </c>
      <c r="R3" s="49">
        <f aca="true" t="shared" si="2" ref="R3:R50">M$4/(M$6+O3-2*M$7*SQRT(M$6*O3))</f>
        <v>0.17659925816837396</v>
      </c>
      <c r="S3" s="49">
        <f aca="true" t="shared" si="3" ref="S3:S50">(M$11+O3)^-1</f>
        <v>0.039364734182295615</v>
      </c>
      <c r="T3" s="49">
        <f aca="true" t="shared" si="4" ref="T3:T50">R3/(R3+S3)</f>
        <v>0.817725474724613</v>
      </c>
      <c r="U3" s="49">
        <f aca="true" t="shared" si="5" ref="U3:U51">1-T3</f>
        <v>0.182274525275387</v>
      </c>
      <c r="V3" s="49">
        <f>IF(main!J$18=4,U3^2,1)*P3</f>
        <v>0.05140862140774677</v>
      </c>
      <c r="W3" s="49">
        <f>IF(main!J$18=4,T3^2,0)*O3/M$4</f>
        <v>0</v>
      </c>
      <c r="X3" s="49">
        <f>IF(main!J$18=4,T3,1)*(-2*M$7*SQRT(M$6*O3)/M$4)</f>
        <v>0</v>
      </c>
      <c r="Y3" s="49">
        <f aca="true" t="shared" si="6" ref="Y3:Y51">SQRT(M$11+V3+W3+X3)</f>
        <v>2.2116529161257983</v>
      </c>
      <c r="Z3" s="49">
        <f>MAX(CHOOSE(main!J$18,M$4-1,Q3,Q3,(1/R3+1/S3)^2/(1/(R3^2*(M$4-1))+1/(S3^2*(Q3)))),2)</f>
        <v>24.51237887393182</v>
      </c>
      <c r="AA3" s="49">
        <f aca="true" t="shared" si="7" ref="AA3:AA50">ABS(N3-M$9)/Y3</f>
        <v>2.657537707455472</v>
      </c>
      <c r="AB3" s="49">
        <f aca="true" t="shared" si="8" ref="AB3:AB50">M$8*(1-1/(4*Z3))^2-AA3</f>
        <v>-0.6355235847581215</v>
      </c>
      <c r="AC3" s="49">
        <f aca="true" t="shared" si="9" ref="AC3:AC51">SQRT(1+M$8^2/(2*Z3))</f>
        <v>1.0425393454653595</v>
      </c>
      <c r="AD3" s="152">
        <f aca="true" t="shared" si="10" ref="AD3:AD50">1-NORMSDIST(AB3/AC3)</f>
        <v>0.728933924771352</v>
      </c>
    </row>
    <row r="4" spans="2:30" ht="12.75">
      <c r="B4" s="194" t="s">
        <v>106</v>
      </c>
      <c r="C4" s="195"/>
      <c r="D4" s="195"/>
      <c r="E4" s="123"/>
      <c r="L4" s="58" t="s">
        <v>9</v>
      </c>
      <c r="M4" s="49">
        <f>main!P3</f>
        <v>25</v>
      </c>
      <c r="N4" s="49">
        <f aca="true" t="shared" si="11" ref="N4:N50">N3+M$10</f>
        <v>4.244897959183673</v>
      </c>
      <c r="O4" s="49">
        <f>IF(main!C$24=0,main!C$27^2,IF(main!C$24=1,main!C$28^2,IF(main!C$24=2,(N4*main!C$27)^2,N4*main!C$27)))</f>
        <v>21.803182007496876</v>
      </c>
      <c r="P4" s="49">
        <f t="shared" si="0"/>
        <v>0.05450795501874219</v>
      </c>
      <c r="Q4" s="49">
        <f t="shared" si="1"/>
        <v>24.543431488267036</v>
      </c>
      <c r="R4" s="49">
        <f t="shared" si="2"/>
        <v>0.17506612701870713</v>
      </c>
      <c r="S4" s="49">
        <f t="shared" si="3"/>
        <v>0.03753305441214264</v>
      </c>
      <c r="T4" s="49">
        <f t="shared" si="4"/>
        <v>0.8234562609341435</v>
      </c>
      <c r="U4" s="49">
        <f t="shared" si="5"/>
        <v>0.17654373906585652</v>
      </c>
      <c r="V4" s="49">
        <f>IF(main!J$18=4,U4^2,1)*P4</f>
        <v>0.05450795501874219</v>
      </c>
      <c r="W4" s="49">
        <f>IF(main!J$18=4,T4^2,0)*O4/M$4</f>
        <v>0</v>
      </c>
      <c r="X4" s="49">
        <f>IF(main!J$18=4,T4,1)*(-2*M$7*SQRT(M$6*O4)/M$4)</f>
        <v>0</v>
      </c>
      <c r="Y4" s="49">
        <f t="shared" si="6"/>
        <v>2.2123534878085693</v>
      </c>
      <c r="Z4" s="49">
        <f>MAX(CHOOSE(main!J$18,M$4-1,Q4,Q4,(1/R4+1/S4)^2/(1/(R4^2*(M$4-1))+1/(S4^2*(Q4)))),2)</f>
        <v>24.543431488267036</v>
      </c>
      <c r="AA4" s="49">
        <f t="shared" si="7"/>
        <v>2.6013483254509215</v>
      </c>
      <c r="AB4" s="49">
        <f t="shared" si="8"/>
        <v>-0.5792814814030796</v>
      </c>
      <c r="AC4" s="49">
        <f t="shared" si="9"/>
        <v>1.042486620943083</v>
      </c>
      <c r="AD4" s="152">
        <f t="shared" si="10"/>
        <v>0.7107827300554002</v>
      </c>
    </row>
    <row r="5" spans="2:30" ht="12.75">
      <c r="B5" s="195"/>
      <c r="C5" s="195"/>
      <c r="D5" s="195"/>
      <c r="E5" s="123"/>
      <c r="L5" s="58" t="s">
        <v>10</v>
      </c>
      <c r="M5" s="49">
        <f>main!P4</f>
        <v>400</v>
      </c>
      <c r="N5" s="49">
        <f t="shared" si="11"/>
        <v>4.367346938775509</v>
      </c>
      <c r="O5" s="49">
        <f>IF(main!C$24=0,main!C$27^2,IF(main!C$24=1,main!C$28^2,IF(main!C$24=2,(N5*main!C$27)^2,N5*main!C$27)))</f>
        <v>23.079200333194496</v>
      </c>
      <c r="P5" s="49">
        <f t="shared" si="0"/>
        <v>0.05769800083298624</v>
      </c>
      <c r="Q5" s="49">
        <f t="shared" si="1"/>
        <v>24.57541219408441</v>
      </c>
      <c r="R5" s="49">
        <f t="shared" si="2"/>
        <v>0.17351567708722376</v>
      </c>
      <c r="S5" s="49">
        <f t="shared" si="3"/>
        <v>0.03581764477727721</v>
      </c>
      <c r="T5" s="49">
        <f t="shared" si="4"/>
        <v>0.8288965920081202</v>
      </c>
      <c r="U5" s="49">
        <f t="shared" si="5"/>
        <v>0.17110340799187984</v>
      </c>
      <c r="V5" s="49">
        <f>IF(main!J$18=4,U5^2,1)*P5</f>
        <v>0.05769800083298624</v>
      </c>
      <c r="W5" s="49">
        <f>IF(main!J$18=4,T5^2,0)*O5/M$4</f>
        <v>0</v>
      </c>
      <c r="X5" s="49">
        <f>IF(main!J$18=4,T5,1)*(-2*M$7*SQRT(M$6*O5)/M$4)</f>
        <v>0</v>
      </c>
      <c r="Y5" s="49">
        <f t="shared" si="6"/>
        <v>2.213074332423786</v>
      </c>
      <c r="Z5" s="49">
        <f>MAX(CHOOSE(main!J$18,M$4-1,Q5,Q5,(1/R5+1/S5)^2/(1/(R5^2*(M$4-1))+1/(S5^2*(Q5)))),2)</f>
        <v>24.57541219408441</v>
      </c>
      <c r="AA5" s="49">
        <f t="shared" si="7"/>
        <v>2.5451712031089078</v>
      </c>
      <c r="AB5" s="49">
        <f t="shared" si="8"/>
        <v>-0.5230502005407835</v>
      </c>
      <c r="AC5" s="49">
        <f t="shared" si="9"/>
        <v>1.042432457103557</v>
      </c>
      <c r="AD5" s="152">
        <f t="shared" si="10"/>
        <v>0.6920815840815272</v>
      </c>
    </row>
    <row r="6" spans="2:30" ht="13.5" thickBot="1">
      <c r="B6" s="196"/>
      <c r="C6" s="196"/>
      <c r="D6" s="196"/>
      <c r="E6" s="123"/>
      <c r="L6" s="58" t="s">
        <v>11</v>
      </c>
      <c r="M6" s="49">
        <f>main!P5</f>
        <v>121</v>
      </c>
      <c r="N6" s="49">
        <f t="shared" si="11"/>
        <v>4.489795918367346</v>
      </c>
      <c r="O6" s="49">
        <f>IF(main!C$24=0,main!C$27^2,IF(main!C$24=1,main!C$28^2,IF(main!C$24=2,(N6*main!C$27)^2,N6*main!C$27)))</f>
        <v>24.391503540191575</v>
      </c>
      <c r="P6" s="49">
        <f t="shared" si="0"/>
        <v>0.06097875885047894</v>
      </c>
      <c r="Q6" s="49">
        <f t="shared" si="1"/>
        <v>24.608322650619996</v>
      </c>
      <c r="R6" s="49">
        <f t="shared" si="2"/>
        <v>0.17194952518727533</v>
      </c>
      <c r="S6" s="49">
        <f t="shared" si="3"/>
        <v>0.03420966693092128</v>
      </c>
      <c r="T6" s="49">
        <f t="shared" si="4"/>
        <v>0.8340618888761071</v>
      </c>
      <c r="U6" s="49">
        <f t="shared" si="5"/>
        <v>0.1659381111238929</v>
      </c>
      <c r="V6" s="49">
        <f>IF(main!J$18=4,U6^2,1)*P6</f>
        <v>0.06097875885047894</v>
      </c>
      <c r="W6" s="49">
        <f>IF(main!J$18=4,T6^2,0)*O6/M$4</f>
        <v>0</v>
      </c>
      <c r="X6" s="49">
        <f>IF(main!J$18=4,T6,1)*(-2*M$7*SQRT(M$6*O6)/M$4)</f>
        <v>0</v>
      </c>
      <c r="Y6" s="49">
        <f t="shared" si="6"/>
        <v>2.2138154301681245</v>
      </c>
      <c r="Z6" s="49">
        <f>MAX(CHOOSE(main!J$18,M$4-1,Q6,Q6,(1/R6+1/S6)^2/(1/(R6^2*(M$4-1))+1/(S6^2*(Q6)))),2)</f>
        <v>24.608322650619996</v>
      </c>
      <c r="AA6" s="49">
        <f t="shared" si="7"/>
        <v>2.4890078940384797</v>
      </c>
      <c r="AB6" s="49">
        <f t="shared" si="8"/>
        <v>-0.4668313046522039</v>
      </c>
      <c r="AC6" s="49">
        <f t="shared" si="9"/>
        <v>1.0423768626534462</v>
      </c>
      <c r="AD6" s="152">
        <f t="shared" si="10"/>
        <v>0.6728702508677522</v>
      </c>
    </row>
    <row r="7" spans="2:30" ht="12.75">
      <c r="B7" s="122"/>
      <c r="C7" s="124" t="s">
        <v>0</v>
      </c>
      <c r="D7" s="131">
        <f>main!C3</f>
        <v>0.05</v>
      </c>
      <c r="L7" s="58" t="s">
        <v>7</v>
      </c>
      <c r="M7" s="49">
        <f>main!P8</f>
        <v>0</v>
      </c>
      <c r="N7" s="49">
        <f t="shared" si="11"/>
        <v>4.612244897959182</v>
      </c>
      <c r="O7" s="49">
        <f>IF(main!C$24=0,main!C$27^2,IF(main!C$24=1,main!C$28^2,IF(main!C$24=2,(N7*main!C$27)^2,N7*main!C$27)))</f>
        <v>25.74009162848812</v>
      </c>
      <c r="P7" s="49">
        <f t="shared" si="0"/>
        <v>0.0643502290712203</v>
      </c>
      <c r="Q7" s="49">
        <f t="shared" si="1"/>
        <v>24.642164563533353</v>
      </c>
      <c r="R7" s="49">
        <f t="shared" si="2"/>
        <v>0.17036925439091452</v>
      </c>
      <c r="S7" s="49">
        <f t="shared" si="3"/>
        <v>0.03270101385400721</v>
      </c>
      <c r="T7" s="49">
        <f t="shared" si="4"/>
        <v>0.8389670032120766</v>
      </c>
      <c r="U7" s="49">
        <f t="shared" si="5"/>
        <v>0.16103299678792338</v>
      </c>
      <c r="V7" s="49">
        <f>IF(main!J$18=4,U7^2,1)*P7</f>
        <v>0.0643502290712203</v>
      </c>
      <c r="W7" s="49">
        <f>IF(main!J$18=4,T7^2,0)*O7/M$4</f>
        <v>0</v>
      </c>
      <c r="X7" s="49">
        <f>IF(main!J$18=4,T7,1)*(-2*M$7*SQRT(M$6*O7)/M$4)</f>
        <v>0</v>
      </c>
      <c r="Y7" s="49">
        <f t="shared" si="6"/>
        <v>2.214576760708741</v>
      </c>
      <c r="Z7" s="49">
        <f>MAX(CHOOSE(main!J$18,M$4-1,Q7,Q7,(1/R7+1/S7)^2/(1/(R7^2*(M$4-1))+1/(S7^2*(Q7)))),2)</f>
        <v>24.642164563533353</v>
      </c>
      <c r="AA7" s="49">
        <f t="shared" si="7"/>
        <v>2.4328599476120893</v>
      </c>
      <c r="AB7" s="49">
        <f t="shared" si="8"/>
        <v>-0.4106263521935194</v>
      </c>
      <c r="AC7" s="49">
        <f t="shared" si="9"/>
        <v>1.0423198465082348</v>
      </c>
      <c r="AD7" s="152">
        <f t="shared" si="10"/>
        <v>0.6531925983499048</v>
      </c>
    </row>
    <row r="8" spans="2:30" ht="12.75">
      <c r="B8" s="116"/>
      <c r="C8" s="125" t="s">
        <v>101</v>
      </c>
      <c r="D8" s="132" t="str">
        <f>main!B5</f>
        <v>two-sided</v>
      </c>
      <c r="L8" s="58" t="s">
        <v>17</v>
      </c>
      <c r="M8" s="49">
        <f>main!P19</f>
        <v>2.063898547318068</v>
      </c>
      <c r="N8" s="49">
        <f t="shared" si="11"/>
        <v>4.734693877551019</v>
      </c>
      <c r="O8" s="49">
        <f>IF(main!C$24=0,main!C$27^2,IF(main!C$24=1,main!C$28^2,IF(main!C$24=2,(N8*main!C$27)^2,N8*main!C$27)))</f>
        <v>27.124964598084116</v>
      </c>
      <c r="P8" s="49">
        <f t="shared" si="0"/>
        <v>0.06781241149521029</v>
      </c>
      <c r="Q8" s="49">
        <f t="shared" si="1"/>
        <v>24.676939684842353</v>
      </c>
      <c r="R8" s="49">
        <f t="shared" si="2"/>
        <v>0.16877641164562585</v>
      </c>
      <c r="S8" s="49">
        <f t="shared" si="3"/>
        <v>0.03128425176043952</v>
      </c>
      <c r="T8" s="49">
        <f t="shared" si="4"/>
        <v>0.8436261720429191</v>
      </c>
      <c r="U8" s="49">
        <f t="shared" si="5"/>
        <v>0.15637382795708088</v>
      </c>
      <c r="V8" s="49">
        <f>IF(main!J$18=4,U8^2,1)*P8</f>
        <v>0.06781241149521029</v>
      </c>
      <c r="W8" s="49">
        <f>IF(main!J$18=4,T8^2,0)*O8/M$4</f>
        <v>0</v>
      </c>
      <c r="X8" s="49">
        <f>IF(main!J$18=4,T8,1)*(-2*M$7*SQRT(M$6*O8)/M$4)</f>
        <v>0</v>
      </c>
      <c r="Y8" s="49">
        <f t="shared" si="6"/>
        <v>2.215358303186013</v>
      </c>
      <c r="Z8" s="49">
        <f>MAX(CHOOSE(main!J$18,M$4-1,Q8,Q8,(1/R8+1/S8)^2/(1/(R8^2*(M$4-1))+1/(S8^2*(Q8)))),2)</f>
        <v>24.676939684842353</v>
      </c>
      <c r="AA8" s="49">
        <f t="shared" si="7"/>
        <v>2.376728908762385</v>
      </c>
      <c r="AB8" s="49">
        <f t="shared" si="8"/>
        <v>-0.3544368973897085</v>
      </c>
      <c r="AC8" s="49">
        <f t="shared" si="9"/>
        <v>1.0422614177891518</v>
      </c>
      <c r="AD8" s="152">
        <f t="shared" si="10"/>
        <v>0.6330963076253076</v>
      </c>
    </row>
    <row r="9" spans="3:30" ht="12.75">
      <c r="C9" t="s">
        <v>107</v>
      </c>
      <c r="D9" s="132" t="str">
        <f>main!B10</f>
        <v>Decrease</v>
      </c>
      <c r="L9" s="58" t="s">
        <v>33</v>
      </c>
      <c r="M9" s="49">
        <f>main!C12</f>
        <v>10</v>
      </c>
      <c r="N9" s="49">
        <f t="shared" si="11"/>
        <v>4.857142857142855</v>
      </c>
      <c r="O9" s="49">
        <f>IF(main!C$24=0,main!C$27^2,IF(main!C$24=1,main!C$28^2,IF(main!C$24=2,(N9*main!C$27)^2,N9*main!C$27)))</f>
        <v>28.54612244897957</v>
      </c>
      <c r="P9" s="49">
        <f t="shared" si="0"/>
        <v>0.07136530612244893</v>
      </c>
      <c r="Q9" s="49">
        <f t="shared" si="1"/>
        <v>24.712649812856014</v>
      </c>
      <c r="R9" s="49">
        <f t="shared" si="2"/>
        <v>0.1671725056497484</v>
      </c>
      <c r="S9" s="49">
        <f t="shared" si="3"/>
        <v>0.029952564917599903</v>
      </c>
      <c r="T9" s="49">
        <f t="shared" si="4"/>
        <v>0.8480529907667603</v>
      </c>
      <c r="U9" s="49">
        <f t="shared" si="5"/>
        <v>0.15194700923323967</v>
      </c>
      <c r="V9" s="49">
        <f>IF(main!J$18=4,U9^2,1)*P9</f>
        <v>0.07136530612244893</v>
      </c>
      <c r="W9" s="49">
        <f>IF(main!J$18=4,T9^2,0)*O9/M$4</f>
        <v>0</v>
      </c>
      <c r="X9" s="49">
        <f>IF(main!J$18=4,T9,1)*(-2*M$7*SQRT(M$6*O9)/M$4)</f>
        <v>0</v>
      </c>
      <c r="Y9" s="49">
        <f t="shared" si="6"/>
        <v>2.216160036216349</v>
      </c>
      <c r="Z9" s="49">
        <f>MAX(CHOOSE(main!J$18,M$4-1,Q9,Q9,(1/R9+1/S9)^2/(1/(R9^2*(M$4-1))+1/(S9^2*(Q9)))),2)</f>
        <v>24.712649812856014</v>
      </c>
      <c r="AA9" s="49">
        <f t="shared" si="7"/>
        <v>2.320616317780708</v>
      </c>
      <c r="AB9" s="49">
        <f t="shared" si="8"/>
        <v>-0.2982644900297817</v>
      </c>
      <c r="AC9" s="49">
        <f t="shared" si="9"/>
        <v>1.042201585820037</v>
      </c>
      <c r="AD9" s="152">
        <f t="shared" si="10"/>
        <v>0.6126325296962885</v>
      </c>
    </row>
    <row r="10" spans="2:30" ht="12.75">
      <c r="B10" s="116"/>
      <c r="C10" s="125" t="s">
        <v>102</v>
      </c>
      <c r="D10" s="132">
        <f>main!C12</f>
        <v>10</v>
      </c>
      <c r="L10" s="58" t="s">
        <v>95</v>
      </c>
      <c r="M10" s="49">
        <f>(I28-H28)/49</f>
        <v>0.12244897959183673</v>
      </c>
      <c r="N10" s="49">
        <f t="shared" si="11"/>
        <v>4.979591836734691</v>
      </c>
      <c r="O10" s="49">
        <f>IF(main!C$24=0,main!C$27^2,IF(main!C$24=1,main!C$28^2,IF(main!C$24=2,(N10*main!C$27)^2,N10*main!C$27)))</f>
        <v>30.00356518117448</v>
      </c>
      <c r="P10" s="49">
        <f t="shared" si="0"/>
        <v>0.0750089129529362</v>
      </c>
      <c r="Q10" s="49">
        <f t="shared" si="1"/>
        <v>24.749296792105323</v>
      </c>
      <c r="R10" s="49">
        <f t="shared" si="2"/>
        <v>0.16555900498114023</v>
      </c>
      <c r="S10" s="49">
        <f t="shared" si="3"/>
        <v>0.028699703798975393</v>
      </c>
      <c r="T10" s="49">
        <f t="shared" si="4"/>
        <v>0.8522604006831888</v>
      </c>
      <c r="U10" s="49">
        <f t="shared" si="5"/>
        <v>0.14773959931681124</v>
      </c>
      <c r="V10" s="49">
        <f>IF(main!J$18=4,U10^2,1)*P10</f>
        <v>0.0750089129529362</v>
      </c>
      <c r="W10" s="49">
        <f>IF(main!J$18=4,T10^2,0)*O10/M$4</f>
        <v>0</v>
      </c>
      <c r="X10" s="49">
        <f>IF(main!J$18=4,T10,1)*(-2*M$7*SQRT(M$6*O10)/M$4)</f>
        <v>0</v>
      </c>
      <c r="Y10" s="49">
        <f t="shared" si="6"/>
        <v>2.21698193789506</v>
      </c>
      <c r="Z10" s="49">
        <f>MAX(CHOOSE(main!J$18,M$4-1,Q10,Q10,(1/R10+1/S10)^2/(1/(R10^2*(M$4-1))+1/(S10^2*(Q10)))),2)</f>
        <v>24.749296792105323</v>
      </c>
      <c r="AA10" s="49">
        <f t="shared" si="7"/>
        <v>2.264523710117366</v>
      </c>
      <c r="AB10" s="49">
        <f t="shared" si="8"/>
        <v>-0.242110675263719</v>
      </c>
      <c r="AC10" s="49">
        <f t="shared" si="9"/>
        <v>1.0421403601241468</v>
      </c>
      <c r="AD10" s="152">
        <f t="shared" si="10"/>
        <v>0.5918554937613968</v>
      </c>
    </row>
    <row r="11" spans="2:30" ht="12.75">
      <c r="B11" s="117"/>
      <c r="C11" s="126"/>
      <c r="D11" s="192" t="str">
        <f>main!B22</f>
        <v>SDs proportional to mean</v>
      </c>
      <c r="L11" s="58" t="s">
        <v>96</v>
      </c>
      <c r="M11" s="49">
        <f>M6/M4</f>
        <v>4.84</v>
      </c>
      <c r="N11" s="49">
        <f t="shared" si="11"/>
        <v>5.102040816326528</v>
      </c>
      <c r="O11" s="49">
        <f>IF(main!C$24=0,main!C$27^2,IF(main!C$24=1,main!C$28^2,IF(main!C$24=2,(N11*main!C$27)^2,N11*main!C$27)))</f>
        <v>31.497292794668862</v>
      </c>
      <c r="P11" s="49">
        <f t="shared" si="0"/>
        <v>0.07874323198667216</v>
      </c>
      <c r="Q11" s="49">
        <f t="shared" si="1"/>
        <v>24.786882513272072</v>
      </c>
      <c r="R11" s="49">
        <f t="shared" si="2"/>
        <v>0.16393733647233621</v>
      </c>
      <c r="S11" s="49">
        <f t="shared" si="3"/>
        <v>0.02751993676718571</v>
      </c>
      <c r="T11" s="49">
        <f t="shared" si="4"/>
        <v>0.8562606878206346</v>
      </c>
      <c r="U11" s="49">
        <f t="shared" si="5"/>
        <v>0.14373931217936542</v>
      </c>
      <c r="V11" s="49">
        <f>IF(main!J$18=4,U11^2,1)*P11</f>
        <v>0.07874323198667216</v>
      </c>
      <c r="W11" s="49">
        <f>IF(main!J$18=4,T11^2,0)*O11/M$4</f>
        <v>0</v>
      </c>
      <c r="X11" s="49">
        <f>IF(main!J$18=4,T11,1)*(-2*M$7*SQRT(M$6*O11)/M$4)</f>
        <v>0</v>
      </c>
      <c r="Y11" s="49">
        <f t="shared" si="6"/>
        <v>2.217823985799295</v>
      </c>
      <c r="Z11" s="49">
        <f>MAX(CHOOSE(main!J$18,M$4-1,Q11,Q11,(1/R11+1/S11)^2/(1/(R11^2*(M$4-1))+1/(S11^2*(Q11)))),2)</f>
        <v>24.786882513272072</v>
      </c>
      <c r="AA11" s="49">
        <f t="shared" si="7"/>
        <v>2.208452616183726</v>
      </c>
      <c r="AB11" s="49">
        <f t="shared" si="8"/>
        <v>-0.185976993401189</v>
      </c>
      <c r="AC11" s="49">
        <f t="shared" si="9"/>
        <v>1.0420777504209042</v>
      </c>
      <c r="AD11" s="152">
        <f t="shared" si="10"/>
        <v>0.5708220720594498</v>
      </c>
    </row>
    <row r="12" spans="2:30" ht="12.75">
      <c r="B12" s="118"/>
      <c r="C12" s="127" t="s">
        <v>103</v>
      </c>
      <c r="D12" s="192"/>
      <c r="L12" s="58" t="s">
        <v>111</v>
      </c>
      <c r="M12" s="153">
        <f>MAX(ROUND((MIN(AD23:AD52)-0.05)*10,0)/10,0)</f>
        <v>0</v>
      </c>
      <c r="N12" s="49">
        <f t="shared" si="11"/>
        <v>5.224489795918364</v>
      </c>
      <c r="O12" s="49">
        <f>IF(main!C$24=0,main!C$27^2,IF(main!C$24=1,main!C$28^2,IF(main!C$24=2,(N12*main!C$27)^2,N12*main!C$27)))</f>
        <v>33.02730528946269</v>
      </c>
      <c r="P12" s="49">
        <f t="shared" si="0"/>
        <v>0.08256826322365672</v>
      </c>
      <c r="Q12" s="49">
        <f t="shared" si="1"/>
        <v>24.825408913115574</v>
      </c>
      <c r="R12" s="49">
        <f t="shared" si="2"/>
        <v>0.16230888382431696</v>
      </c>
      <c r="S12" s="49">
        <f t="shared" si="3"/>
        <v>0.026408005332195353</v>
      </c>
      <c r="T12" s="49">
        <f t="shared" si="4"/>
        <v>0.860065490427336</v>
      </c>
      <c r="U12" s="49">
        <f t="shared" si="5"/>
        <v>0.13993450957266396</v>
      </c>
      <c r="V12" s="49">
        <f>IF(main!J$18=4,U12^2,1)*P12</f>
        <v>0.08256826322365672</v>
      </c>
      <c r="W12" s="49">
        <f>IF(main!J$18=4,T12^2,0)*O12/M$4</f>
        <v>0</v>
      </c>
      <c r="X12" s="49">
        <f>IF(main!J$18=4,T12,1)*(-2*M$7*SQRT(M$6*O12)/M$4)</f>
        <v>0</v>
      </c>
      <c r="Y12" s="49">
        <f t="shared" si="6"/>
        <v>2.218686156991037</v>
      </c>
      <c r="Z12" s="49">
        <f>MAX(CHOOSE(main!J$18,M$4-1,Q12,Q12,(1/R12+1/S12)^2/(1/(R12^2*(M$4-1))+1/(S12^2*(Q12)))),2)</f>
        <v>24.825408913115574</v>
      </c>
      <c r="AA12" s="49">
        <f t="shared" si="7"/>
        <v>2.152404561156203</v>
      </c>
      <c r="AB12" s="49">
        <f t="shared" si="8"/>
        <v>-0.12986497971208832</v>
      </c>
      <c r="AC12" s="49">
        <f t="shared" si="9"/>
        <v>1.0420137666225942</v>
      </c>
      <c r="AD12" s="152">
        <f t="shared" si="10"/>
        <v>0.5495913071393344</v>
      </c>
    </row>
    <row r="13" spans="2:30" ht="12.75">
      <c r="B13" s="119"/>
      <c r="C13" s="128"/>
      <c r="D13" s="193"/>
      <c r="L13" s="58" t="s">
        <v>112</v>
      </c>
      <c r="M13" s="153">
        <f>MIN(ROUND((M14+0.05)*10,0)/10,1)</f>
        <v>0.8</v>
      </c>
      <c r="N13" s="49">
        <f t="shared" si="11"/>
        <v>5.346938775510201</v>
      </c>
      <c r="O13" s="49">
        <f>IF(main!C$24=0,main!C$27^2,IF(main!C$24=1,main!C$28^2,IF(main!C$24=2,(N13*main!C$27)^2,N13*main!C$27)))</f>
        <v>34.59360266555598</v>
      </c>
      <c r="P13" s="49">
        <f t="shared" si="0"/>
        <v>0.08648400666388995</v>
      </c>
      <c r="Q13" s="49">
        <f t="shared" si="1"/>
        <v>24.864877974397412</v>
      </c>
      <c r="R13" s="49">
        <f t="shared" si="2"/>
        <v>0.16067498645003284</v>
      </c>
      <c r="S13" s="49">
        <f t="shared" si="3"/>
        <v>0.025359082924306806</v>
      </c>
      <c r="T13" s="49">
        <f t="shared" si="4"/>
        <v>0.8636858129825725</v>
      </c>
      <c r="U13" s="49">
        <f t="shared" si="5"/>
        <v>0.13631418701742748</v>
      </c>
      <c r="V13" s="49">
        <f>IF(main!J$18=4,U13^2,1)*P13</f>
        <v>0.08648400666388995</v>
      </c>
      <c r="W13" s="49">
        <f>IF(main!J$18=4,T13^2,0)*O13/M$4</f>
        <v>0</v>
      </c>
      <c r="X13" s="49">
        <f>IF(main!J$18=4,T13,1)*(-2*M$7*SQRT(M$6*O13)/M$4)</f>
        <v>0</v>
      </c>
      <c r="Y13" s="49">
        <f t="shared" si="6"/>
        <v>2.2195684280201613</v>
      </c>
      <c r="Z13" s="49">
        <f>MAX(CHOOSE(main!J$18,M$4-1,Q13,Q13,(1/R13+1/S13)^2/(1/(R13^2*(M$4-1))+1/(S13^2*(Q13)))),2)</f>
        <v>24.864877974397412</v>
      </c>
      <c r="AA13" s="49">
        <f t="shared" si="7"/>
        <v>2.096381064782173</v>
      </c>
      <c r="AB13" s="49">
        <f t="shared" si="8"/>
        <v>-0.07377616422896294</v>
      </c>
      <c r="AC13" s="49">
        <f t="shared" si="9"/>
        <v>1.0419484188310064</v>
      </c>
      <c r="AD13" s="152">
        <f t="shared" si="10"/>
        <v>0.5282239081843507</v>
      </c>
    </row>
    <row r="14" spans="2:30" ht="12.75">
      <c r="B14" s="116"/>
      <c r="C14" s="125" t="str">
        <f>main!B27</f>
        <v>ratio of SD/mean:</v>
      </c>
      <c r="D14" s="132">
        <f>main!C27</f>
        <v>1.1</v>
      </c>
      <c r="M14" s="152">
        <f>MAX(AD3:AD52)</f>
        <v>0.728933924771352</v>
      </c>
      <c r="N14" s="49">
        <f t="shared" si="11"/>
        <v>5.469387755102037</v>
      </c>
      <c r="O14" s="49">
        <f>IF(main!C$24=0,main!C$27^2,IF(main!C$24=1,main!C$28^2,IF(main!C$24=2,(N14*main!C$27)^2,N14*main!C$27)))</f>
        <v>36.19618492294873</v>
      </c>
      <c r="P14" s="49">
        <f t="shared" si="0"/>
        <v>0.09049046230737183</v>
      </c>
      <c r="Q14" s="49">
        <f t="shared" si="1"/>
        <v>24.90529172580404</v>
      </c>
      <c r="R14" s="49">
        <f t="shared" si="2"/>
        <v>0.15903693853800585</v>
      </c>
      <c r="S14" s="49">
        <f t="shared" si="3"/>
        <v>0.02436873705188828</v>
      </c>
      <c r="T14" s="49">
        <f t="shared" si="4"/>
        <v>0.8671320449952803</v>
      </c>
      <c r="U14" s="49">
        <f t="shared" si="5"/>
        <v>0.1328679550047197</v>
      </c>
      <c r="V14" s="49">
        <f>IF(main!J$18=4,U14^2,1)*P14</f>
        <v>0.09049046230737183</v>
      </c>
      <c r="W14" s="49">
        <f>IF(main!J$18=4,T14^2,0)*O14/M$4</f>
        <v>0</v>
      </c>
      <c r="X14" s="49">
        <f>IF(main!J$18=4,T14,1)*(-2*M$7*SQRT(M$6*O14)/M$4)</f>
        <v>0</v>
      </c>
      <c r="Y14" s="49">
        <f t="shared" si="6"/>
        <v>2.220470774927554</v>
      </c>
      <c r="Z14" s="49">
        <f>MAX(CHOOSE(main!J$18,M$4-1,Q14,Q14,(1/R14+1/S14)^2/(1/(R14^2*(M$4-1))+1/(S14^2*(Q14)))),2)</f>
        <v>24.90529172580404</v>
      </c>
      <c r="AA14" s="49">
        <f t="shared" si="7"/>
        <v>2.040383641187883</v>
      </c>
      <c r="AB14" s="49">
        <f t="shared" si="8"/>
        <v>-0.017712071551369668</v>
      </c>
      <c r="AC14" s="49">
        <f t="shared" si="9"/>
        <v>1.0418817173340267</v>
      </c>
      <c r="AD14" s="152">
        <f t="shared" si="10"/>
        <v>0.5067817236440244</v>
      </c>
    </row>
    <row r="15" spans="2:30" ht="12.75">
      <c r="B15" s="117"/>
      <c r="C15" s="126"/>
      <c r="D15" s="192" t="str">
        <f>main!G16</f>
        <v>independent, unequal sample sizes</v>
      </c>
      <c r="N15" s="49">
        <f t="shared" si="11"/>
        <v>5.5918367346938735</v>
      </c>
      <c r="O15" s="49">
        <f>IF(main!C$24=0,main!C$27^2,IF(main!C$24=1,main!C$28^2,IF(main!C$24=2,(N15*main!C$27)^2,N15*main!C$27)))</f>
        <v>37.83505206164094</v>
      </c>
      <c r="P15" s="49">
        <f t="shared" si="0"/>
        <v>0.09458763015410235</v>
      </c>
      <c r="Q15" s="49">
        <f t="shared" si="1"/>
        <v>24.9466522418674</v>
      </c>
      <c r="R15" s="49">
        <f t="shared" si="2"/>
        <v>0.1573959883256623</v>
      </c>
      <c r="S15" s="49">
        <f t="shared" si="3"/>
        <v>0.023432894670065648</v>
      </c>
      <c r="T15" s="49">
        <f t="shared" si="4"/>
        <v>0.8704139831985842</v>
      </c>
      <c r="U15" s="49">
        <f t="shared" si="5"/>
        <v>0.1295860168014158</v>
      </c>
      <c r="V15" s="49">
        <f>IF(main!J$18=4,U15^2,1)*P15</f>
        <v>0.09458763015410235</v>
      </c>
      <c r="W15" s="49">
        <f>IF(main!J$18=4,T15^2,0)*O15/M$4</f>
        <v>0</v>
      </c>
      <c r="X15" s="49">
        <f>IF(main!J$18=4,T15,1)*(-2*M$7*SQRT(M$6*O15)/M$4)</f>
        <v>0</v>
      </c>
      <c r="Y15" s="49">
        <f t="shared" si="6"/>
        <v>2.2213931732482886</v>
      </c>
      <c r="Z15" s="49">
        <f>MAX(CHOOSE(main!J$18,M$4-1,Q15,Q15,(1/R15+1/S15)^2/(1/(R15^2*(M$4-1))+1/(S15^2*(Q15)))),2)</f>
        <v>24.9466522418674</v>
      </c>
      <c r="AA15" s="49">
        <f t="shared" si="7"/>
        <v>1.984413798688405</v>
      </c>
      <c r="AB15" s="49">
        <f t="shared" si="8"/>
        <v>0.038325779347767375</v>
      </c>
      <c r="AC15" s="49">
        <f t="shared" si="9"/>
        <v>1.041813672602179</v>
      </c>
      <c r="AD15" s="152">
        <f t="shared" si="10"/>
        <v>0.48532719790238443</v>
      </c>
    </row>
    <row r="16" spans="2:30" ht="12.75">
      <c r="B16" s="118"/>
      <c r="C16" s="14" t="s">
        <v>104</v>
      </c>
      <c r="D16" s="192"/>
      <c r="N16" s="49">
        <f t="shared" si="11"/>
        <v>5.71428571428571</v>
      </c>
      <c r="O16" s="49">
        <f>IF(main!C$24=0,main!C$27^2,IF(main!C$24=1,main!C$28^2,IF(main!C$24=2,(N16*main!C$27)^2,N16*main!C$27)))</f>
        <v>39.510204081632594</v>
      </c>
      <c r="P16" s="49">
        <f t="shared" si="0"/>
        <v>0.09877551020408148</v>
      </c>
      <c r="Q16" s="49">
        <f t="shared" si="1"/>
        <v>24.98896164288331</v>
      </c>
      <c r="R16" s="49">
        <f t="shared" si="2"/>
        <v>0.15575333757151943</v>
      </c>
      <c r="S16" s="49">
        <f t="shared" si="3"/>
        <v>0.02254781056157856</v>
      </c>
      <c r="T16" s="49">
        <f t="shared" si="4"/>
        <v>0.8735408560311283</v>
      </c>
      <c r="U16" s="49">
        <f t="shared" si="5"/>
        <v>0.1264591439688717</v>
      </c>
      <c r="V16" s="49">
        <f>IF(main!J$18=4,U16^2,1)*P16</f>
        <v>0.09877551020408148</v>
      </c>
      <c r="W16" s="49">
        <f>IF(main!J$18=4,T16^2,0)*O16/M$4</f>
        <v>0</v>
      </c>
      <c r="X16" s="49">
        <f>IF(main!J$18=4,T16,1)*(-2*M$7*SQRT(M$6*O16)/M$4)</f>
        <v>0</v>
      </c>
      <c r="Y16" s="49">
        <f t="shared" si="6"/>
        <v>2.2223355980148636</v>
      </c>
      <c r="Z16" s="49">
        <f>MAX(CHOOSE(main!J$18,M$4-1,Q16,Q16,(1/R16+1/S16)^2/(1/(R16^2*(M$4-1))+1/(S16^2*(Q16)))),2)</f>
        <v>24.98896164288331</v>
      </c>
      <c r="AA16" s="49">
        <f t="shared" si="7"/>
        <v>1.928473039599677</v>
      </c>
      <c r="AB16" s="49">
        <f t="shared" si="8"/>
        <v>0.09433587531376131</v>
      </c>
      <c r="AC16" s="49">
        <f t="shared" si="9"/>
        <v>1.0417442952851215</v>
      </c>
      <c r="AD16" s="152">
        <f t="shared" si="10"/>
        <v>0.4639228200273108</v>
      </c>
    </row>
    <row r="17" spans="2:30" ht="12.75">
      <c r="B17" s="119"/>
      <c r="C17" s="128"/>
      <c r="D17" s="192"/>
      <c r="N17" s="49">
        <f t="shared" si="11"/>
        <v>5.836734693877546</v>
      </c>
      <c r="O17" s="49">
        <f>IF(main!C$24=0,main!C$27^2,IF(main!C$24=1,main!C$28^2,IF(main!C$24=2,(N17*main!C$27)^2,N17*main!C$27)))</f>
        <v>41.221640982923724</v>
      </c>
      <c r="P17" s="49">
        <f t="shared" si="0"/>
        <v>0.10305410245730931</v>
      </c>
      <c r="Q17" s="49">
        <f t="shared" si="1"/>
        <v>25.032222094827805</v>
      </c>
      <c r="R17" s="49">
        <f t="shared" si="2"/>
        <v>0.15411014121495434</v>
      </c>
      <c r="S17" s="49">
        <f t="shared" si="3"/>
        <v>0.021710038519268705</v>
      </c>
      <c r="T17" s="49">
        <f t="shared" si="4"/>
        <v>0.8765213495283278</v>
      </c>
      <c r="U17" s="49">
        <f t="shared" si="5"/>
        <v>0.12347865047167217</v>
      </c>
      <c r="V17" s="49">
        <f>IF(main!J$18=4,U17^2,1)*P17</f>
        <v>0.10305410245730931</v>
      </c>
      <c r="W17" s="49">
        <f>IF(main!J$18=4,T17^2,0)*O17/M$4</f>
        <v>0</v>
      </c>
      <c r="X17" s="49">
        <f>IF(main!J$18=4,T17,1)*(-2*M$7*SQRT(M$6*O17)/M$4)</f>
        <v>0</v>
      </c>
      <c r="Y17" s="49">
        <f t="shared" si="6"/>
        <v>2.223298023760492</v>
      </c>
      <c r="Z17" s="49">
        <f>MAX(CHOOSE(main!J$18,M$4-1,Q17,Q17,(1/R17+1/S17)^2/(1/(R17^2*(M$4-1))+1/(S17^2*(Q17)))),2)</f>
        <v>25.032222094827805</v>
      </c>
      <c r="AA17" s="49">
        <f t="shared" si="7"/>
        <v>1.872562860052696</v>
      </c>
      <c r="AB17" s="49">
        <f t="shared" si="8"/>
        <v>0.15031670919966045</v>
      </c>
      <c r="AC17" s="49">
        <f t="shared" si="9"/>
        <v>1.0416735962080967</v>
      </c>
      <c r="AD17" s="152">
        <f t="shared" si="10"/>
        <v>0.44263057279260165</v>
      </c>
    </row>
    <row r="18" spans="2:30" ht="12.75">
      <c r="B18" s="197" t="str">
        <f>CHOOSE(main!J18,"correlation:"," "," ","correlation:")</f>
        <v> </v>
      </c>
      <c r="C18" s="199"/>
      <c r="D18" s="132" t="str">
        <f>CHOOSE(main!J18,main!I20," "," ",main!I20)</f>
        <v> </v>
      </c>
      <c r="N18" s="49">
        <f t="shared" si="11"/>
        <v>5.959183673469383</v>
      </c>
      <c r="O18" s="49">
        <f>IF(main!C$24=0,main!C$27^2,IF(main!C$24=1,main!C$28^2,IF(main!C$24=2,(N18*main!C$27)^2,N18*main!C$27)))</f>
        <v>42.969362765514305</v>
      </c>
      <c r="P18" s="49">
        <f t="shared" si="0"/>
        <v>0.10742340691378577</v>
      </c>
      <c r="Q18" s="49">
        <f t="shared" si="1"/>
        <v>25.076435809271317</v>
      </c>
      <c r="R18" s="49">
        <f t="shared" si="2"/>
        <v>0.15246750721201163</v>
      </c>
      <c r="S18" s="49">
        <f t="shared" si="3"/>
        <v>0.020916405117227723</v>
      </c>
      <c r="T18" s="49">
        <f t="shared" si="4"/>
        <v>0.8793636339367549</v>
      </c>
      <c r="U18" s="49">
        <f t="shared" si="5"/>
        <v>0.12063636606324513</v>
      </c>
      <c r="V18" s="49">
        <f>IF(main!J$18=4,U18^2,1)*P18</f>
        <v>0.10742340691378577</v>
      </c>
      <c r="W18" s="49">
        <f>IF(main!J$18=4,T18^2,0)*O18/M$4</f>
        <v>0</v>
      </c>
      <c r="X18" s="49">
        <f>IF(main!J$18=4,T18,1)*(-2*M$7*SQRT(M$6*O18)/M$4)</f>
        <v>0</v>
      </c>
      <c r="Y18" s="49">
        <f t="shared" si="6"/>
        <v>2.2242804245224534</v>
      </c>
      <c r="Z18" s="49">
        <f>MAX(CHOOSE(main!J$18,M$4-1,Q18,Q18,(1/R18+1/S18)^2/(1/(R18^2*(M$4-1))+1/(S18^2*(Q18)))),2)</f>
        <v>25.076435809271317</v>
      </c>
      <c r="AA18" s="49">
        <f t="shared" si="7"/>
        <v>1.8166847498098935</v>
      </c>
      <c r="AB18" s="49">
        <f t="shared" si="8"/>
        <v>0.2062667800536071</v>
      </c>
      <c r="AC18" s="49">
        <f t="shared" si="9"/>
        <v>1.0416015863683392</v>
      </c>
      <c r="AD18" s="152">
        <f t="shared" si="10"/>
        <v>0.42151139013939765</v>
      </c>
    </row>
    <row r="19" spans="2:30" ht="12.75">
      <c r="B19" s="197" t="s">
        <v>9</v>
      </c>
      <c r="C19" s="198"/>
      <c r="D19" s="132">
        <f>main!G23</f>
        <v>25</v>
      </c>
      <c r="N19" s="49">
        <f t="shared" si="11"/>
        <v>6.081632653061219</v>
      </c>
      <c r="O19" s="49">
        <f>IF(main!C$24=0,main!C$27^2,IF(main!C$24=1,main!C$28^2,IF(main!C$24=2,(N19*main!C$27)^2,N19*main!C$27)))</f>
        <v>44.753369429404344</v>
      </c>
      <c r="P19" s="49">
        <f t="shared" si="0"/>
        <v>0.11188342357351086</v>
      </c>
      <c r="Q19" s="49">
        <f t="shared" si="1"/>
        <v>25.121605043290707</v>
      </c>
      <c r="R19" s="49">
        <f t="shared" si="2"/>
        <v>0.15082649653555122</v>
      </c>
      <c r="S19" s="49">
        <f t="shared" si="3"/>
        <v>0.02016398586152711</v>
      </c>
      <c r="T19" s="49">
        <f t="shared" si="4"/>
        <v>0.8820753905196794</v>
      </c>
      <c r="U19" s="49">
        <f t="shared" si="5"/>
        <v>0.11792460948032057</v>
      </c>
      <c r="V19" s="49">
        <f>IF(main!J$18=4,U19^2,1)*P19</f>
        <v>0.11188342357351086</v>
      </c>
      <c r="W19" s="49">
        <f>IF(main!J$18=4,T19^2,0)*O19/M$4</f>
        <v>0</v>
      </c>
      <c r="X19" s="49">
        <f>IF(main!J$18=4,T19,1)*(-2*M$7*SQRT(M$6*O19)/M$4)</f>
        <v>0</v>
      </c>
      <c r="Y19" s="49">
        <f t="shared" si="6"/>
        <v>2.2252827738454974</v>
      </c>
      <c r="Z19" s="49">
        <f>MAX(CHOOSE(main!J$18,M$4-1,Q19,Q19,(1/R19+1/S19)^2/(1/(R19^2*(M$4-1))+1/(S19^2*(Q19)))),2)</f>
        <v>25.121605043290707</v>
      </c>
      <c r="AA19" s="49">
        <f t="shared" si="7"/>
        <v>1.7608401920837569</v>
      </c>
      <c r="AB19" s="49">
        <f t="shared" si="8"/>
        <v>0.262184593303993</v>
      </c>
      <c r="AC19" s="49">
        <f t="shared" si="9"/>
        <v>1.0415282769314418</v>
      </c>
      <c r="AD19" s="152">
        <f t="shared" si="10"/>
        <v>0.4006246310477516</v>
      </c>
    </row>
    <row r="20" spans="2:30" ht="12.75">
      <c r="B20" s="120"/>
      <c r="C20" s="129" t="s">
        <v>10</v>
      </c>
      <c r="D20" s="133">
        <f>main!L23</f>
        <v>400</v>
      </c>
      <c r="N20" s="49">
        <f t="shared" si="11"/>
        <v>6.204081632653056</v>
      </c>
      <c r="O20" s="49">
        <f>IF(main!C$24=0,main!C$27^2,IF(main!C$24=1,main!C$28^2,IF(main!C$24=2,(N20*main!C$27)^2,N20*main!C$27)))</f>
        <v>46.57366097459385</v>
      </c>
      <c r="P20" s="49">
        <f t="shared" si="0"/>
        <v>0.11643415243648463</v>
      </c>
      <c r="Q20" s="49">
        <f t="shared" si="1"/>
        <v>25.167732099379087</v>
      </c>
      <c r="R20" s="49">
        <f t="shared" si="2"/>
        <v>0.14918812332798706</v>
      </c>
      <c r="S20" s="49">
        <f t="shared" si="3"/>
        <v>0.019450083519517346</v>
      </c>
      <c r="T20" s="49">
        <f t="shared" si="4"/>
        <v>0.8846638381472735</v>
      </c>
      <c r="U20" s="49">
        <f t="shared" si="5"/>
        <v>0.11533616185272655</v>
      </c>
      <c r="V20" s="49">
        <f>IF(main!J$18=4,U20^2,1)*P20</f>
        <v>0.11643415243648463</v>
      </c>
      <c r="W20" s="49">
        <f>IF(main!J$18=4,T20^2,0)*O20/M$4</f>
        <v>0</v>
      </c>
      <c r="X20" s="49">
        <f>IF(main!J$18=4,T20,1)*(-2*M$7*SQRT(M$6*O20)/M$4)</f>
        <v>0</v>
      </c>
      <c r="Y20" s="49">
        <f t="shared" si="6"/>
        <v>2.2263050447853017</v>
      </c>
      <c r="Z20" s="49">
        <f>MAX(CHOOSE(main!J$18,M$4-1,Q20,Q20,(1/R20+1/S20)^2/(1/(R20^2*(M$4-1))+1/(S20^2*(Q20)))),2)</f>
        <v>25.167732099379087</v>
      </c>
      <c r="AA20" s="49">
        <f t="shared" si="7"/>
        <v>1.7050306633577303</v>
      </c>
      <c r="AB20" s="49">
        <f t="shared" si="8"/>
        <v>0.31806866094237396</v>
      </c>
      <c r="AC20" s="49">
        <f t="shared" si="9"/>
        <v>1.0414536792276832</v>
      </c>
      <c r="AD20" s="152">
        <f t="shared" si="10"/>
        <v>0.3800275774282409</v>
      </c>
    </row>
    <row r="21" spans="2:30" ht="13.5" thickBot="1">
      <c r="B21" s="121"/>
      <c r="C21" s="130" t="s">
        <v>105</v>
      </c>
      <c r="D21" s="134" t="str">
        <f>IF(main!J18=4,main!L26," ")</f>
        <v> </v>
      </c>
      <c r="N21" s="49">
        <f t="shared" si="11"/>
        <v>6.326530612244892</v>
      </c>
      <c r="O21" s="49">
        <f>IF(main!C$24=0,main!C$27^2,IF(main!C$24=1,main!C$28^2,IF(main!C$24=2,(N21*main!C$27)^2,N21*main!C$27)))</f>
        <v>48.4302374010828</v>
      </c>
      <c r="P21" s="49">
        <f t="shared" si="0"/>
        <v>0.121075593502707</v>
      </c>
      <c r="Q21" s="49">
        <f t="shared" si="1"/>
        <v>25.214819325353456</v>
      </c>
      <c r="R21" s="49">
        <f t="shared" si="2"/>
        <v>0.1475533551949106</v>
      </c>
      <c r="S21" s="49">
        <f t="shared" si="3"/>
        <v>0.01877220843734542</v>
      </c>
      <c r="T21" s="49">
        <f t="shared" si="4"/>
        <v>0.8871357593661876</v>
      </c>
      <c r="U21" s="49">
        <f t="shared" si="5"/>
        <v>0.1128642406338124</v>
      </c>
      <c r="V21" s="49">
        <f>IF(main!J$18=4,U21^2,1)*P21</f>
        <v>0.121075593502707</v>
      </c>
      <c r="W21" s="49">
        <f>IF(main!J$18=4,T21^2,0)*O21/M$4</f>
        <v>0</v>
      </c>
      <c r="X21" s="49">
        <f>IF(main!J$18=4,T21,1)*(-2*M$7*SQRT(M$6*O21)/M$4)</f>
        <v>0</v>
      </c>
      <c r="Y21" s="49">
        <f t="shared" si="6"/>
        <v>2.2273472099119855</v>
      </c>
      <c r="Z21" s="49">
        <f>MAX(CHOOSE(main!J$18,M$4-1,Q21,Q21,(1/R21+1/S21)^2/(1/(R21^2*(M$4-1))+1/(S21^2*(Q21)))),2)</f>
        <v>25.214819325353456</v>
      </c>
      <c r="AA21" s="49">
        <f t="shared" si="7"/>
        <v>1.6492576332094475</v>
      </c>
      <c r="AB21" s="49">
        <f t="shared" si="8"/>
        <v>0.37391750170409077</v>
      </c>
      <c r="AC21" s="49">
        <f t="shared" si="9"/>
        <v>1.0413778047483182</v>
      </c>
      <c r="AD21" s="152">
        <f t="shared" si="10"/>
        <v>0.35977496312785884</v>
      </c>
    </row>
    <row r="22" spans="14:30" ht="12.75">
      <c r="N22" s="49">
        <f t="shared" si="11"/>
        <v>6.4489795918367285</v>
      </c>
      <c r="O22" s="49">
        <f>IF(main!C$24=0,main!C$27^2,IF(main!C$24=1,main!C$28^2,IF(main!C$24=2,(N22*main!C$27)^2,N22*main!C$27)))</f>
        <v>50.323098708871214</v>
      </c>
      <c r="P22" s="49">
        <f t="shared" si="0"/>
        <v>0.12580774677217804</v>
      </c>
      <c r="Q22" s="49">
        <f t="shared" si="1"/>
        <v>25.26286911426017</v>
      </c>
      <c r="R22" s="49">
        <f t="shared" si="2"/>
        <v>0.14592311362802524</v>
      </c>
      <c r="S22" s="49">
        <f t="shared" si="3"/>
        <v>0.01812806066746903</v>
      </c>
      <c r="T22" s="49">
        <f t="shared" si="4"/>
        <v>0.8894975257244049</v>
      </c>
      <c r="U22" s="49">
        <f t="shared" si="5"/>
        <v>0.11050247427559512</v>
      </c>
      <c r="V22" s="49">
        <f>IF(main!J$18=4,U22^2,1)*P22</f>
        <v>0.12580774677217804</v>
      </c>
      <c r="W22" s="49">
        <f>IF(main!J$18=4,T22^2,0)*O22/M$4</f>
        <v>0</v>
      </c>
      <c r="X22" s="49">
        <f>IF(main!J$18=4,T22,1)*(-2*M$7*SQRT(M$6*O22)/M$4)</f>
        <v>0</v>
      </c>
      <c r="Y22" s="49">
        <f t="shared" si="6"/>
        <v>2.2284092413136727</v>
      </c>
      <c r="Z22" s="49">
        <f>MAX(CHOOSE(main!J$18,M$4-1,Q22,Q22,(1/R22+1/S22)^2/(1/(R22^2*(M$4-1))+1/(S22^2*(Q22)))),2)</f>
        <v>25.26286911426017</v>
      </c>
      <c r="AA22" s="49">
        <f t="shared" si="7"/>
        <v>1.5935225641363362</v>
      </c>
      <c r="AB22" s="49">
        <f t="shared" si="8"/>
        <v>0.4297296412465508</v>
      </c>
      <c r="AC22" s="49">
        <f t="shared" si="9"/>
        <v>1.041300665141833</v>
      </c>
      <c r="AD22" s="152">
        <f t="shared" si="10"/>
        <v>0.3399185404882863</v>
      </c>
    </row>
    <row r="23" spans="14:30" ht="12.75">
      <c r="N23" s="49">
        <f t="shared" si="11"/>
        <v>6.571428571428565</v>
      </c>
      <c r="O23" s="49">
        <f>IF(main!C$24=0,main!C$27^2,IF(main!C$24=1,main!C$28^2,IF(main!C$24=2,(N23*main!C$27)^2,N23*main!C$27)))</f>
        <v>52.252244897959095</v>
      </c>
      <c r="P23" s="49">
        <f t="shared" si="0"/>
        <v>0.13063061224489775</v>
      </c>
      <c r="Q23" s="49">
        <f t="shared" si="1"/>
        <v>25.311883904278027</v>
      </c>
      <c r="R23" s="49">
        <f t="shared" si="2"/>
        <v>0.14429827454602004</v>
      </c>
      <c r="S23" s="49">
        <f t="shared" si="3"/>
        <v>0.01751551374074183</v>
      </c>
      <c r="T23" s="49">
        <f t="shared" si="4"/>
        <v>0.8917551221920512</v>
      </c>
      <c r="U23" s="49">
        <f t="shared" si="5"/>
        <v>0.10824487780794878</v>
      </c>
      <c r="V23" s="49">
        <f>IF(main!J$18=4,U23^2,1)*P23</f>
        <v>0.13063061224489775</v>
      </c>
      <c r="W23" s="49">
        <f>IF(main!J$18=4,T23^2,0)*O23/M$4</f>
        <v>0</v>
      </c>
      <c r="X23" s="49">
        <f>IF(main!J$18=4,T23,1)*(-2*M$7*SQRT(M$6*O23)/M$4)</f>
        <v>0</v>
      </c>
      <c r="Y23" s="49">
        <f t="shared" si="6"/>
        <v>2.2294911106001067</v>
      </c>
      <c r="Z23" s="49">
        <f>MAX(CHOOSE(main!J$18,M$4-1,Q23,Q23,(1/R23+1/S23)^2/(1/(R23^2*(M$4-1))+1/(S23^2*(Q23)))),2)</f>
        <v>25.311883904278027</v>
      </c>
      <c r="AA23" s="49">
        <f t="shared" si="7"/>
        <v>1.5378269113836363</v>
      </c>
      <c r="AB23" s="49">
        <f t="shared" si="8"/>
        <v>0.4855036123251353</v>
      </c>
      <c r="AC23" s="49">
        <f t="shared" si="9"/>
        <v>1.0412222722101685</v>
      </c>
      <c r="AD23" s="152">
        <f t="shared" si="10"/>
        <v>0.3205066901159208</v>
      </c>
    </row>
    <row r="24" spans="14:30" ht="12.75">
      <c r="N24" s="49">
        <f t="shared" si="11"/>
        <v>6.693877551020401</v>
      </c>
      <c r="O24" s="49">
        <f>IF(main!C$24=0,main!C$27^2,IF(main!C$24=1,main!C$28^2,IF(main!C$24=2,(N24*main!C$27)^2,N24*main!C$27)))</f>
        <v>54.21767596834642</v>
      </c>
      <c r="P24" s="49">
        <f t="shared" si="0"/>
        <v>0.13554418992086606</v>
      </c>
      <c r="Q24" s="49">
        <f t="shared" si="1"/>
        <v>25.36186617861931</v>
      </c>
      <c r="R24" s="49">
        <f t="shared" si="2"/>
        <v>0.14267966894228368</v>
      </c>
      <c r="S24" s="49">
        <f t="shared" si="3"/>
        <v>0.016932599930548867</v>
      </c>
      <c r="T24" s="49">
        <f t="shared" si="4"/>
        <v>0.8939141705701864</v>
      </c>
      <c r="U24" s="49">
        <f t="shared" si="5"/>
        <v>0.1060858294298136</v>
      </c>
      <c r="V24" s="49">
        <f>IF(main!J$18=4,U24^2,1)*P24</f>
        <v>0.13554418992086606</v>
      </c>
      <c r="W24" s="49">
        <f>IF(main!J$18=4,T24^2,0)*O24/M$4</f>
        <v>0</v>
      </c>
      <c r="X24" s="49">
        <f>IF(main!J$18=4,T24,1)*(-2*M$7*SQRT(M$6*O24)/M$4)</f>
        <v>0</v>
      </c>
      <c r="Y24" s="49">
        <f t="shared" si="6"/>
        <v>2.230592788906318</v>
      </c>
      <c r="Z24" s="49">
        <f>MAX(CHOOSE(main!J$18,M$4-1,Q24,Q24,(1/R24+1/S24)^2/(1/(R24^2*(M$4-1))+1/(S24^2*(Q24)))),2)</f>
        <v>25.36186617861931</v>
      </c>
      <c r="AA24" s="49">
        <f t="shared" si="7"/>
        <v>1.4821721227748716</v>
      </c>
      <c r="AB24" s="49">
        <f t="shared" si="8"/>
        <v>0.5412379549666728</v>
      </c>
      <c r="AC24" s="49">
        <f t="shared" si="9"/>
        <v>1.0411426379049105</v>
      </c>
      <c r="AD24" s="152">
        <f t="shared" si="10"/>
        <v>0.3015840786426044</v>
      </c>
    </row>
    <row r="25" spans="7:30" ht="12.75" customHeight="1">
      <c r="G25" s="191" t="s">
        <v>108</v>
      </c>
      <c r="H25" s="191"/>
      <c r="I25" s="191"/>
      <c r="J25" s="191"/>
      <c r="N25" s="49">
        <f t="shared" si="11"/>
        <v>6.816326530612238</v>
      </c>
      <c r="O25" s="49">
        <f>IF(main!C$24=0,main!C$27^2,IF(main!C$24=1,main!C$28^2,IF(main!C$24=2,(N25*main!C$27)^2,N25*main!C$27)))</f>
        <v>56.21939192003321</v>
      </c>
      <c r="P25" s="49">
        <f t="shared" si="0"/>
        <v>0.14054847980008303</v>
      </c>
      <c r="Q25" s="49">
        <f t="shared" si="1"/>
        <v>25.412818465428323</v>
      </c>
      <c r="R25" s="49">
        <f t="shared" si="2"/>
        <v>0.14106808362868528</v>
      </c>
      <c r="S25" s="49">
        <f t="shared" si="3"/>
        <v>0.01637749686910829</v>
      </c>
      <c r="T25" s="49">
        <f t="shared" si="4"/>
        <v>0.8959799518200018</v>
      </c>
      <c r="U25" s="49">
        <f t="shared" si="5"/>
        <v>0.10402004817999821</v>
      </c>
      <c r="V25" s="49">
        <f>IF(main!J$18=4,U25^2,1)*P25</f>
        <v>0.14054847980008303</v>
      </c>
      <c r="W25" s="49">
        <f>IF(main!J$18=4,T25^2,0)*O25/M$4</f>
        <v>0</v>
      </c>
      <c r="X25" s="49">
        <f>IF(main!J$18=4,T25,1)*(-2*M$7*SQRT(M$6*O25)/M$4)</f>
        <v>0</v>
      </c>
      <c r="Y25" s="49">
        <f t="shared" si="6"/>
        <v>2.2317142468963365</v>
      </c>
      <c r="Z25" s="49">
        <f>MAX(CHOOSE(main!J$18,M$4-1,Q25,Q25,(1/R25+1/S25)^2/(1/(R25^2*(M$4-1))+1/(S25^2*(Q25)))),2)</f>
        <v>25.412818465428323</v>
      </c>
      <c r="AA25" s="49">
        <f t="shared" si="7"/>
        <v>1.4265596385448196</v>
      </c>
      <c r="AB25" s="49">
        <f t="shared" si="8"/>
        <v>0.5969312166404552</v>
      </c>
      <c r="AC25" s="49">
        <f t="shared" si="9"/>
        <v>1.0410617743234543</v>
      </c>
      <c r="AD25" s="152">
        <f t="shared" si="10"/>
        <v>0.2831913682969551</v>
      </c>
    </row>
    <row r="26" spans="7:30" ht="12.75">
      <c r="G26" s="191"/>
      <c r="H26" s="191"/>
      <c r="I26" s="191"/>
      <c r="J26" s="191"/>
      <c r="N26" s="49">
        <f t="shared" si="11"/>
        <v>6.938775510204074</v>
      </c>
      <c r="O26" s="49">
        <f>IF(main!C$24=0,main!C$27^2,IF(main!C$24=1,main!C$28^2,IF(main!C$24=2,(N26*main!C$27)^2,N26*main!C$27)))</f>
        <v>58.25739275301945</v>
      </c>
      <c r="P26" s="49">
        <f t="shared" si="0"/>
        <v>0.14564348188254864</v>
      </c>
      <c r="Q26" s="49">
        <f t="shared" si="1"/>
        <v>25.4647433376778</v>
      </c>
      <c r="R26" s="49">
        <f t="shared" si="2"/>
        <v>0.1394642620650238</v>
      </c>
      <c r="S26" s="49">
        <f t="shared" si="3"/>
        <v>0.015848515388175784</v>
      </c>
      <c r="T26" s="49">
        <f t="shared" si="4"/>
        <v>0.8979574272763784</v>
      </c>
      <c r="U26" s="49">
        <f t="shared" si="5"/>
        <v>0.1020425727236216</v>
      </c>
      <c r="V26" s="49">
        <f>IF(main!J$18=4,U26^2,1)*P26</f>
        <v>0.14564348188254864</v>
      </c>
      <c r="W26" s="49">
        <f>IF(main!J$18=4,T26^2,0)*O26/M$4</f>
        <v>0</v>
      </c>
      <c r="X26" s="49">
        <f>IF(main!J$18=4,T26,1)*(-2*M$7*SQRT(M$6*O26)/M$4)</f>
        <v>0</v>
      </c>
      <c r="Y26" s="49">
        <f t="shared" si="6"/>
        <v>2.232855454766956</v>
      </c>
      <c r="Z26" s="49">
        <f>MAX(CHOOSE(main!J$18,M$4-1,Q26,Q26,(1/R26+1/S26)^2/(1/(R26^2*(M$4-1))+1/(S26^2*(Q26)))),2)</f>
        <v>25.4647433376778</v>
      </c>
      <c r="AA26" s="49">
        <f t="shared" si="7"/>
        <v>1.3709908911750075</v>
      </c>
      <c r="AB26" s="49">
        <f t="shared" si="8"/>
        <v>0.652581952426746</v>
      </c>
      <c r="AC26" s="49">
        <f t="shared" si="9"/>
        <v>1.0409796937051388</v>
      </c>
      <c r="AD26" s="152">
        <f t="shared" si="10"/>
        <v>0.2653649810933133</v>
      </c>
    </row>
    <row r="27" spans="7:30" ht="12.75">
      <c r="G27" s="191"/>
      <c r="H27" s="191"/>
      <c r="I27" s="191"/>
      <c r="J27" s="191"/>
      <c r="N27" s="49">
        <f t="shared" si="11"/>
        <v>7.061224489795911</v>
      </c>
      <c r="O27" s="49">
        <f>IF(main!C$24=0,main!C$27^2,IF(main!C$24=1,main!C$28^2,IF(main!C$24=2,(N27*main!C$27)^2,N27*main!C$27)))</f>
        <v>60.33167846730517</v>
      </c>
      <c r="P27" s="49">
        <f t="shared" si="0"/>
        <v>0.15082919616826293</v>
      </c>
      <c r="Q27" s="49">
        <f t="shared" si="1"/>
        <v>25.51764341306288</v>
      </c>
      <c r="R27" s="49">
        <f t="shared" si="2"/>
        <v>0.1378689052641599</v>
      </c>
      <c r="S27" s="49">
        <f t="shared" si="3"/>
        <v>0.01534408846784071</v>
      </c>
      <c r="T27" s="49">
        <f t="shared" si="4"/>
        <v>0.8998512587340959</v>
      </c>
      <c r="U27" s="49">
        <f t="shared" si="5"/>
        <v>0.10014874126590412</v>
      </c>
      <c r="V27" s="49">
        <f>IF(main!J$18=4,U27^2,1)*P27</f>
        <v>0.15082919616826293</v>
      </c>
      <c r="W27" s="49">
        <f>IF(main!J$18=4,T27^2,0)*O27/M$4</f>
        <v>0</v>
      </c>
      <c r="X27" s="49">
        <f>IF(main!J$18=4,T27,1)*(-2*M$7*SQRT(M$6*O27)/M$4)</f>
        <v>0</v>
      </c>
      <c r="Y27" s="49">
        <f t="shared" si="6"/>
        <v>2.2340163822515406</v>
      </c>
      <c r="Z27" s="49">
        <f>MAX(CHOOSE(main!J$18,M$4-1,Q27,Q27,(1/R27+1/S27)^2/(1/(R27^2*(M$4-1))+1/(S27^2*(Q27)))),2)</f>
        <v>25.51764341306288</v>
      </c>
      <c r="AA27" s="49">
        <f t="shared" si="7"/>
        <v>1.3154673052317822</v>
      </c>
      <c r="AB27" s="49">
        <f t="shared" si="8"/>
        <v>0.7081887251827415</v>
      </c>
      <c r="AC27" s="49">
        <f t="shared" si="9"/>
        <v>1.0408964084273598</v>
      </c>
      <c r="AD27" s="152">
        <f t="shared" si="10"/>
        <v>0.24813691940398463</v>
      </c>
    </row>
    <row r="28" spans="8:30" ht="12.75">
      <c r="H28" s="135">
        <v>4</v>
      </c>
      <c r="I28" s="135">
        <v>10</v>
      </c>
      <c r="N28" s="49">
        <f t="shared" si="11"/>
        <v>7.183673469387747</v>
      </c>
      <c r="O28" s="49">
        <f>IF(main!C$24=0,main!C$27^2,IF(main!C$24=1,main!C$28^2,IF(main!C$24=2,(N28*main!C$27)^2,N28*main!C$27)))</f>
        <v>62.44224906289033</v>
      </c>
      <c r="P28" s="49">
        <f t="shared" si="0"/>
        <v>0.15610562265722583</v>
      </c>
      <c r="Q28" s="49">
        <f t="shared" si="1"/>
        <v>25.57152135389281</v>
      </c>
      <c r="R28" s="49">
        <f t="shared" si="2"/>
        <v>0.13628267276329095</v>
      </c>
      <c r="S28" s="49">
        <f t="shared" si="3"/>
        <v>0.014862761187802685</v>
      </c>
      <c r="T28" s="49">
        <f t="shared" si="4"/>
        <v>0.901665827413537</v>
      </c>
      <c r="U28" s="49">
        <f t="shared" si="5"/>
        <v>0.09833417258646304</v>
      </c>
      <c r="V28" s="49">
        <f>IF(main!J$18=4,U28^2,1)*P28</f>
        <v>0.15610562265722583</v>
      </c>
      <c r="W28" s="49">
        <f>IF(main!J$18=4,T28^2,0)*O28/M$4</f>
        <v>0</v>
      </c>
      <c r="X28" s="49">
        <f>IF(main!J$18=4,T28,1)*(-2*M$7*SQRT(M$6*O28)/M$4)</f>
        <v>0</v>
      </c>
      <c r="Y28" s="49">
        <f t="shared" si="6"/>
        <v>2.2351969986238855</v>
      </c>
      <c r="Z28" s="49">
        <f>MAX(CHOOSE(main!J$18,M$4-1,Q28,Q28,(1/R28+1/S28)^2/(1/(R28^2*(M$4-1))+1/(S28^2*(Q28)))),2)</f>
        <v>25.57152135389281</v>
      </c>
      <c r="AA28" s="49">
        <f t="shared" si="7"/>
        <v>1.2599902972069772</v>
      </c>
      <c r="AB28" s="49">
        <f t="shared" si="8"/>
        <v>0.7637501057059575</v>
      </c>
      <c r="AC28" s="49">
        <f t="shared" si="9"/>
        <v>1.0408119310016566</v>
      </c>
      <c r="AD28" s="152">
        <f t="shared" si="10"/>
        <v>0.23153464363614717</v>
      </c>
    </row>
    <row r="29" spans="8:30" ht="12.75">
      <c r="H29" s="90" t="s">
        <v>109</v>
      </c>
      <c r="I29" s="90" t="s">
        <v>110</v>
      </c>
      <c r="N29" s="49">
        <f t="shared" si="11"/>
        <v>7.3061224489795835</v>
      </c>
      <c r="O29" s="49">
        <f>IF(main!C$24=0,main!C$27^2,IF(main!C$24=1,main!C$28^2,IF(main!C$24=2,(N29*main!C$27)^2,N29*main!C$27)))</f>
        <v>64.58910453977497</v>
      </c>
      <c r="P29" s="49">
        <f t="shared" si="0"/>
        <v>0.16147276134943742</v>
      </c>
      <c r="Q29" s="49">
        <f t="shared" si="1"/>
        <v>25.626379866980237</v>
      </c>
      <c r="R29" s="49">
        <f t="shared" si="2"/>
        <v>0.13470618365229553</v>
      </c>
      <c r="S29" s="49">
        <f t="shared" si="3"/>
        <v>0.01440318158542739</v>
      </c>
      <c r="T29" s="49">
        <f t="shared" si="4"/>
        <v>0.9034052518266401</v>
      </c>
      <c r="U29" s="49">
        <f t="shared" si="5"/>
        <v>0.09659474817335989</v>
      </c>
      <c r="V29" s="49">
        <f>IF(main!J$18=4,U29^2,1)*P29</f>
        <v>0.16147276134943742</v>
      </c>
      <c r="W29" s="49">
        <f>IF(main!J$18=4,T29^2,0)*O29/M$4</f>
        <v>0</v>
      </c>
      <c r="X29" s="49">
        <f>IF(main!J$18=4,T29,1)*(-2*M$7*SQRT(M$6*O29)/M$4)</f>
        <v>0</v>
      </c>
      <c r="Y29" s="49">
        <f t="shared" si="6"/>
        <v>2.2363972727021104</v>
      </c>
      <c r="Z29" s="49">
        <f>MAX(CHOOSE(main!J$18,M$4-1,Q29,Q29,(1/R29+1/S29)^2/(1/(R29^2*(M$4-1))+1/(S29^2*(Q29)))),2)</f>
        <v>25.626379866980237</v>
      </c>
      <c r="AA29" s="49">
        <f t="shared" si="7"/>
        <v>1.2045612753612236</v>
      </c>
      <c r="AB29" s="49">
        <f t="shared" si="8"/>
        <v>0.8192646728949904</v>
      </c>
      <c r="AC29" s="49">
        <f t="shared" si="9"/>
        <v>1.0407262740697818</v>
      </c>
      <c r="AD29" s="152">
        <f t="shared" si="10"/>
        <v>0.21558100671218527</v>
      </c>
    </row>
    <row r="30" spans="14:30" ht="12.75">
      <c r="N30" s="49">
        <f t="shared" si="11"/>
        <v>7.42857142857142</v>
      </c>
      <c r="O30" s="49">
        <f>IF(main!C$24=0,main!C$27^2,IF(main!C$24=1,main!C$28^2,IF(main!C$24=2,(N30*main!C$27)^2,N30*main!C$27)))</f>
        <v>66.77224489795903</v>
      </c>
      <c r="P30" s="49">
        <f t="shared" si="0"/>
        <v>0.16693061224489758</v>
      </c>
      <c r="Q30" s="49">
        <f t="shared" si="1"/>
        <v>25.6822217035281</v>
      </c>
      <c r="R30" s="49">
        <f t="shared" si="2"/>
        <v>0.13314001765056246</v>
      </c>
      <c r="S30" s="49">
        <f t="shared" si="3"/>
        <v>0.01396409233399832</v>
      </c>
      <c r="T30" s="49">
        <f t="shared" si="4"/>
        <v>0.9050734045740537</v>
      </c>
      <c r="U30" s="49">
        <f t="shared" si="5"/>
        <v>0.09492659542594628</v>
      </c>
      <c r="V30" s="49">
        <f>IF(main!J$18=4,U30^2,1)*P30</f>
        <v>0.16693061224489758</v>
      </c>
      <c r="W30" s="49">
        <f>IF(main!J$18=4,T30^2,0)*O30/M$4</f>
        <v>0</v>
      </c>
      <c r="X30" s="49">
        <f>IF(main!J$18=4,T30,1)*(-2*M$7*SQRT(M$6*O30)/M$4)</f>
        <v>0</v>
      </c>
      <c r="Y30" s="49">
        <f t="shared" si="6"/>
        <v>2.237617172852608</v>
      </c>
      <c r="Z30" s="49">
        <f>MAX(CHOOSE(main!J$18,M$4-1,Q30,Q30,(1/R30+1/S30)^2/(1/(R30^2*(M$4-1))+1/(S30^2*(Q30)))),2)</f>
        <v>25.6822217035281</v>
      </c>
      <c r="AA30" s="49">
        <f t="shared" si="7"/>
        <v>1.1491816395699248</v>
      </c>
      <c r="AB30" s="49">
        <f t="shared" si="8"/>
        <v>0.8747310139076323</v>
      </c>
      <c r="AC30" s="49">
        <f t="shared" si="9"/>
        <v>1.0406394503997487</v>
      </c>
      <c r="AD30" s="152">
        <f t="shared" si="10"/>
        <v>0.20029424407447194</v>
      </c>
    </row>
    <row r="31" spans="11:30" ht="12.75">
      <c r="K31" s="115"/>
      <c r="N31" s="49">
        <f t="shared" si="11"/>
        <v>7.551020408163256</v>
      </c>
      <c r="O31" s="49">
        <f>IF(main!C$24=0,main!C$27^2,IF(main!C$24=1,main!C$28^2,IF(main!C$24=2,(N31*main!C$27)^2,N31*main!C$27)))</f>
        <v>68.99167013744258</v>
      </c>
      <c r="P31" s="49">
        <f t="shared" si="0"/>
        <v>0.17247917534360646</v>
      </c>
      <c r="Q31" s="49">
        <f t="shared" si="1"/>
        <v>25.73904965901417</v>
      </c>
      <c r="R31" s="49">
        <f t="shared" si="2"/>
        <v>0.13158471622421475</v>
      </c>
      <c r="S31" s="49">
        <f t="shared" si="3"/>
        <v>0.013544323162924978</v>
      </c>
      <c r="T31" s="49">
        <f t="shared" si="4"/>
        <v>0.9066739281116941</v>
      </c>
      <c r="U31" s="49">
        <f t="shared" si="5"/>
        <v>0.09332607188830588</v>
      </c>
      <c r="V31" s="49">
        <f>IF(main!J$18=4,U31^2,1)*P31</f>
        <v>0.17247917534360646</v>
      </c>
      <c r="W31" s="49">
        <f>IF(main!J$18=4,T31^2,0)*O31/M$4</f>
        <v>0</v>
      </c>
      <c r="X31" s="49">
        <f>IF(main!J$18=4,T31,1)*(-2*M$7*SQRT(M$6*O31)/M$4)</f>
        <v>0</v>
      </c>
      <c r="Y31" s="49">
        <f t="shared" si="6"/>
        <v>2.2388566669940277</v>
      </c>
      <c r="Z31" s="49">
        <f>MAX(CHOOSE(main!J$18,M$4-1,Q31,Q31,(1/R31+1/S31)^2/(1/(R31^2*(M$4-1))+1/(S31^2*(Q31)))),2)</f>
        <v>25.73904965901417</v>
      </c>
      <c r="AA31" s="49">
        <f t="shared" si="7"/>
        <v>1.0938527811719339</v>
      </c>
      <c r="AB31" s="49">
        <f t="shared" si="8"/>
        <v>0.9301477243163032</v>
      </c>
      <c r="AC31" s="49">
        <f t="shared" si="9"/>
        <v>1.0405514728818661</v>
      </c>
      <c r="AD31" s="152">
        <f t="shared" si="10"/>
        <v>0.18568801702389348</v>
      </c>
    </row>
    <row r="32" spans="14:30" ht="12.75">
      <c r="N32" s="49">
        <f t="shared" si="11"/>
        <v>7.673469387755093</v>
      </c>
      <c r="O32" s="49">
        <f>IF(main!C$24=0,main!C$27^2,IF(main!C$24=1,main!C$28^2,IF(main!C$24=2,(N32*main!C$27)^2,N32*main!C$27)))</f>
        <v>71.24738025822559</v>
      </c>
      <c r="P32" s="49">
        <f t="shared" si="0"/>
        <v>0.17811845064556397</v>
      </c>
      <c r="Q32" s="49">
        <f t="shared" si="1"/>
        <v>25.796866573073096</v>
      </c>
      <c r="R32" s="49">
        <f t="shared" si="2"/>
        <v>0.13004078373614322</v>
      </c>
      <c r="S32" s="49">
        <f t="shared" si="3"/>
        <v>0.013142783949272492</v>
      </c>
      <c r="T32" s="49">
        <f t="shared" si="4"/>
        <v>0.9082102495298336</v>
      </c>
      <c r="U32" s="49">
        <f t="shared" si="5"/>
        <v>0.09178975047016635</v>
      </c>
      <c r="V32" s="49">
        <f>IF(main!J$18=4,U32^2,1)*P32</f>
        <v>0.17811845064556397</v>
      </c>
      <c r="W32" s="49">
        <f>IF(main!J$18=4,T32^2,0)*O32/M$4</f>
        <v>0</v>
      </c>
      <c r="X32" s="49">
        <f>IF(main!J$18=4,T32,1)*(-2*M$7*SQRT(M$6*O32)/M$4)</f>
        <v>0</v>
      </c>
      <c r="Y32" s="49">
        <f t="shared" si="6"/>
        <v>2.2401157226013044</v>
      </c>
      <c r="Z32" s="49">
        <f>MAX(CHOOSE(main!J$18,M$4-1,Q32,Q32,(1/R32+1/S32)^2/(1/(R32^2*(M$4-1))+1/(S32^2*(Q32)))),2)</f>
        <v>25.796866573073096</v>
      </c>
      <c r="AA32" s="49">
        <f t="shared" si="7"/>
        <v>1.03857608282096</v>
      </c>
      <c r="AB32" s="49">
        <f t="shared" si="8"/>
        <v>0.9855134082607615</v>
      </c>
      <c r="AC32" s="49">
        <f t="shared" si="9"/>
        <v>1.0404623545247544</v>
      </c>
      <c r="AD32" s="152">
        <f t="shared" si="10"/>
        <v>0.17177150637407923</v>
      </c>
    </row>
    <row r="33" spans="14:30" ht="12.75">
      <c r="N33" s="49">
        <f t="shared" si="11"/>
        <v>7.795918367346929</v>
      </c>
      <c r="O33" s="49">
        <f>IF(main!C$24=0,main!C$27^2,IF(main!C$24=1,main!C$28^2,IF(main!C$24=2,(N33*main!C$27)^2,N33*main!C$27)))</f>
        <v>73.53937526030802</v>
      </c>
      <c r="P33" s="49">
        <f t="shared" si="0"/>
        <v>0.18384843815077004</v>
      </c>
      <c r="Q33" s="49">
        <f t="shared" si="1"/>
        <v>25.855675329375995</v>
      </c>
      <c r="R33" s="49">
        <f t="shared" si="2"/>
        <v>0.12850868862176698</v>
      </c>
      <c r="S33" s="49">
        <f t="shared" si="3"/>
        <v>0.012758458416884173</v>
      </c>
      <c r="T33" s="49">
        <f t="shared" si="4"/>
        <v>0.909685594390935</v>
      </c>
      <c r="U33" s="49">
        <f t="shared" si="5"/>
        <v>0.09031440560906501</v>
      </c>
      <c r="V33" s="49">
        <f>IF(main!J$18=4,U33^2,1)*P33</f>
        <v>0.18384843815077004</v>
      </c>
      <c r="W33" s="49">
        <f>IF(main!J$18=4,T33^2,0)*O33/M$4</f>
        <v>0</v>
      </c>
      <c r="X33" s="49">
        <f>IF(main!J$18=4,T33,1)*(-2*M$7*SQRT(M$6*O33)/M$4)</f>
        <v>0</v>
      </c>
      <c r="Y33" s="49">
        <f t="shared" si="6"/>
        <v>2.2413943067097253</v>
      </c>
      <c r="Z33" s="49">
        <f>MAX(CHOOSE(main!J$18,M$4-1,Q33,Q33,(1/R33+1/S33)^2/(1/(R33^2*(M$4-1))+1/(S33^2*(Q33)))),2)</f>
        <v>25.855675329375995</v>
      </c>
      <c r="AA33" s="49">
        <f t="shared" si="7"/>
        <v>0.9833529183397329</v>
      </c>
      <c r="AB33" s="49">
        <f t="shared" si="8"/>
        <v>1.0408266785980709</v>
      </c>
      <c r="AC33" s="49">
        <f t="shared" si="9"/>
        <v>1.0403721084513526</v>
      </c>
      <c r="AD33" s="152">
        <f t="shared" si="10"/>
        <v>0.15854955267583293</v>
      </c>
    </row>
    <row r="34" spans="14:30" ht="12.75">
      <c r="N34" s="49">
        <f t="shared" si="11"/>
        <v>7.918367346938766</v>
      </c>
      <c r="O34" s="49">
        <f>IF(main!C$24=0,main!C$27^2,IF(main!C$24=1,main!C$28^2,IF(main!C$24=2,(N34*main!C$27)^2,N34*main!C$27)))</f>
        <v>75.86765514368996</v>
      </c>
      <c r="P34" s="49">
        <f t="shared" si="0"/>
        <v>0.1896691378592249</v>
      </c>
      <c r="Q34" s="49">
        <f t="shared" si="1"/>
        <v>25.915478855507615</v>
      </c>
      <c r="R34" s="49">
        <f t="shared" si="2"/>
        <v>0.12698886458394082</v>
      </c>
      <c r="S34" s="49">
        <f t="shared" si="3"/>
        <v>0.012390398385625553</v>
      </c>
      <c r="T34" s="49">
        <f t="shared" si="4"/>
        <v>0.9111029996741264</v>
      </c>
      <c r="U34" s="49">
        <f t="shared" si="5"/>
        <v>0.08889700032587355</v>
      </c>
      <c r="V34" s="49">
        <f>IF(main!J$18=4,U34^2,1)*P34</f>
        <v>0.1896691378592249</v>
      </c>
      <c r="W34" s="49">
        <f>IF(main!J$18=4,T34^2,0)*O34/M$4</f>
        <v>0</v>
      </c>
      <c r="X34" s="49">
        <f>IF(main!J$18=4,T34,1)*(-2*M$7*SQRT(M$6*O34)/M$4)</f>
        <v>0</v>
      </c>
      <c r="Y34" s="49">
        <f t="shared" si="6"/>
        <v>2.2426923859190375</v>
      </c>
      <c r="Z34" s="49">
        <f>MAX(CHOOSE(main!J$18,M$4-1,Q34,Q34,(1/R34+1/S34)^2/(1/(R34^2*(M$4-1))+1/(S34^2*(Q34)))),2)</f>
        <v>25.915478855507615</v>
      </c>
      <c r="AA34" s="49">
        <f t="shared" si="7"/>
        <v>0.9281846525769506</v>
      </c>
      <c r="AB34" s="49">
        <f t="shared" si="8"/>
        <v>1.096086157049795</v>
      </c>
      <c r="AC34" s="49">
        <f t="shared" si="9"/>
        <v>1.0402807478949123</v>
      </c>
      <c r="AD34" s="152">
        <f t="shared" si="10"/>
        <v>0.14602283865059784</v>
      </c>
    </row>
    <row r="35" spans="14:30" ht="12.75">
      <c r="N35" s="49">
        <f t="shared" si="11"/>
        <v>8.040816326530603</v>
      </c>
      <c r="O35" s="49">
        <f>IF(main!C$24=0,main!C$27^2,IF(main!C$24=1,main!C$28^2,IF(main!C$24=2,(N35*main!C$27)^2,N35*main!C$27)))</f>
        <v>78.23221990837133</v>
      </c>
      <c r="P35" s="49">
        <f t="shared" si="0"/>
        <v>0.19558054977092834</v>
      </c>
      <c r="Q35" s="49">
        <f t="shared" si="1"/>
        <v>25.976280122840894</v>
      </c>
      <c r="R35" s="49">
        <f t="shared" si="2"/>
        <v>0.12548171180092116</v>
      </c>
      <c r="S35" s="49">
        <f t="shared" si="3"/>
        <v>0.012037718518934488</v>
      </c>
      <c r="T35" s="49">
        <f t="shared" si="4"/>
        <v>0.9124653258747799</v>
      </c>
      <c r="U35" s="49">
        <f t="shared" si="5"/>
        <v>0.08753467412522009</v>
      </c>
      <c r="V35" s="49">
        <f>IF(main!J$18=4,U35^2,1)*P35</f>
        <v>0.19558054977092834</v>
      </c>
      <c r="W35" s="49">
        <f>IF(main!J$18=4,T35^2,0)*O35/M$4</f>
        <v>0</v>
      </c>
      <c r="X35" s="49">
        <f>IF(main!J$18=4,T35,1)*(-2*M$7*SQRT(M$6*O35)/M$4)</f>
        <v>0</v>
      </c>
      <c r="Y35" s="49">
        <f t="shared" si="6"/>
        <v>2.2440099263975926</v>
      </c>
      <c r="Z35" s="49">
        <f>MAX(CHOOSE(main!J$18,M$4-1,Q35,Q35,(1/R35+1/S35)^2/(1/(R35^2*(M$4-1))+1/(S35^2*(Q35)))),2)</f>
        <v>25.976280122840894</v>
      </c>
      <c r="AA35" s="49">
        <f t="shared" si="7"/>
        <v>0.8730726412670378</v>
      </c>
      <c r="AB35" s="49">
        <f t="shared" si="8"/>
        <v>1.1512904743463848</v>
      </c>
      <c r="AC35" s="49">
        <f t="shared" si="9"/>
        <v>1.0401882861949852</v>
      </c>
      <c r="AD35" s="152">
        <f t="shared" si="10"/>
        <v>0.13418810897647981</v>
      </c>
    </row>
    <row r="36" spans="14:30" ht="12.75">
      <c r="N36" s="49">
        <f t="shared" si="11"/>
        <v>8.16326530612244</v>
      </c>
      <c r="O36" s="49">
        <f>IF(main!C$24=0,main!C$27^2,IF(main!C$24=1,main!C$28^2,IF(main!C$24=2,(N36*main!C$27)^2,N36*main!C$27)))</f>
        <v>80.63306955435218</v>
      </c>
      <c r="P36" s="49">
        <f t="shared" si="0"/>
        <v>0.20158267388588044</v>
      </c>
      <c r="Q36" s="49">
        <f t="shared" si="1"/>
        <v>26.038082146409113</v>
      </c>
      <c r="R36" s="49">
        <f t="shared" si="2"/>
        <v>0.12398759814178698</v>
      </c>
      <c r="S36" s="49">
        <f t="shared" si="3"/>
        <v>0.01169959152296621</v>
      </c>
      <c r="T36" s="49">
        <f t="shared" si="4"/>
        <v>0.9137752683074005</v>
      </c>
      <c r="U36" s="49">
        <f t="shared" si="5"/>
        <v>0.08622473169259948</v>
      </c>
      <c r="V36" s="49">
        <f>IF(main!J$18=4,U36^2,1)*P36</f>
        <v>0.20158267388588044</v>
      </c>
      <c r="W36" s="49">
        <f>IF(main!J$18=4,T36^2,0)*O36/M$4</f>
        <v>0</v>
      </c>
      <c r="X36" s="49">
        <f>IF(main!J$18=4,T36,1)*(-2*M$7*SQRT(M$6*O36)/M$4)</f>
        <v>0</v>
      </c>
      <c r="Y36" s="49">
        <f t="shared" si="6"/>
        <v>2.2453468938865284</v>
      </c>
      <c r="Z36" s="49">
        <f>MAX(CHOOSE(main!J$18,M$4-1,Q36,Q36,(1/R36+1/S36)^2/(1/(R36^2*(M$4-1))+1/(S36^2*(Q36)))),2)</f>
        <v>26.038082146409113</v>
      </c>
      <c r="AA36" s="49">
        <f t="shared" si="7"/>
        <v>0.8180182308927368</v>
      </c>
      <c r="AB36" s="49">
        <f t="shared" si="8"/>
        <v>1.2064382703687393</v>
      </c>
      <c r="AC36" s="49">
        <f t="shared" si="9"/>
        <v>1.040094736793402</v>
      </c>
      <c r="AD36" s="152">
        <f t="shared" si="10"/>
        <v>0.1230384222001758</v>
      </c>
    </row>
    <row r="37" spans="14:30" ht="12.75">
      <c r="N37" s="49">
        <f t="shared" si="11"/>
        <v>8.285714285714278</v>
      </c>
      <c r="O37" s="49">
        <f>IF(main!C$24=0,main!C$27^2,IF(main!C$24=1,main!C$28^2,IF(main!C$24=2,(N37*main!C$27)^2,N37*main!C$27)))</f>
        <v>83.07020408163251</v>
      </c>
      <c r="P37" s="49">
        <f t="shared" si="0"/>
        <v>0.2076755102040813</v>
      </c>
      <c r="Q37" s="49">
        <f t="shared" si="1"/>
        <v>26.100887984775337</v>
      </c>
      <c r="R37" s="49">
        <f t="shared" si="2"/>
        <v>0.1225068603841816</v>
      </c>
      <c r="S37" s="49">
        <f t="shared" si="3"/>
        <v>0.011375243755223344</v>
      </c>
      <c r="T37" s="49">
        <f t="shared" si="4"/>
        <v>0.9150353676591545</v>
      </c>
      <c r="U37" s="49">
        <f t="shared" si="5"/>
        <v>0.0849646323408455</v>
      </c>
      <c r="V37" s="49">
        <f>IF(main!J$18=4,U37^2,1)*P37</f>
        <v>0.2076755102040813</v>
      </c>
      <c r="W37" s="49">
        <f>IF(main!J$18=4,T37^2,0)*O37/M$4</f>
        <v>0</v>
      </c>
      <c r="X37" s="49">
        <f>IF(main!J$18=4,T37,1)*(-2*M$7*SQRT(M$6*O37)/M$4)</f>
        <v>0</v>
      </c>
      <c r="Y37" s="49">
        <f t="shared" si="6"/>
        <v>2.246703253703987</v>
      </c>
      <c r="Z37" s="49">
        <f>MAX(CHOOSE(main!J$18,M$4-1,Q37,Q37,(1/R37+1/S37)^2/(1/(R37^2*(M$4-1))+1/(S37^2*(Q37)))),2)</f>
        <v>26.100887984775337</v>
      </c>
      <c r="AA37" s="49">
        <f t="shared" si="7"/>
        <v>0.7630227585505546</v>
      </c>
      <c r="AB37" s="49">
        <f t="shared" si="8"/>
        <v>1.2615281942869183</v>
      </c>
      <c r="AC37" s="49">
        <f t="shared" si="9"/>
        <v>1.0400001132302474</v>
      </c>
      <c r="AD37" s="152">
        <f t="shared" si="10"/>
        <v>0.11256342930451091</v>
      </c>
    </row>
    <row r="38" spans="14:30" ht="12.75">
      <c r="N38" s="49">
        <f t="shared" si="11"/>
        <v>8.408163265306115</v>
      </c>
      <c r="O38" s="49">
        <f>IF(main!C$24=0,main!C$27^2,IF(main!C$24=1,main!C$28^2,IF(main!C$24=2,(N38*main!C$27)^2,N38*main!C$27)))</f>
        <v>85.54362349021228</v>
      </c>
      <c r="P38" s="49">
        <f t="shared" si="0"/>
        <v>0.2138590587255307</v>
      </c>
      <c r="Q38" s="49">
        <f t="shared" si="1"/>
        <v>26.164700739899413</v>
      </c>
      <c r="R38" s="49">
        <f t="shared" si="2"/>
        <v>0.12103980542969754</v>
      </c>
      <c r="S38" s="49">
        <f t="shared" si="3"/>
        <v>0.01106395120470348</v>
      </c>
      <c r="T38" s="49">
        <f t="shared" si="4"/>
        <v>0.9162480198400177</v>
      </c>
      <c r="U38" s="49">
        <f t="shared" si="5"/>
        <v>0.08375198015998231</v>
      </c>
      <c r="V38" s="49">
        <f>IF(main!J$18=4,U38^2,1)*P38</f>
        <v>0.2138590587255307</v>
      </c>
      <c r="W38" s="49">
        <f>IF(main!J$18=4,T38^2,0)*O38/M$4</f>
        <v>0</v>
      </c>
      <c r="X38" s="49">
        <f>IF(main!J$18=4,T38,1)*(-2*M$7*SQRT(M$6*O38)/M$4)</f>
        <v>0</v>
      </c>
      <c r="Y38" s="49">
        <f t="shared" si="6"/>
        <v>2.2480789707493662</v>
      </c>
      <c r="Z38" s="49">
        <f>MAX(CHOOSE(main!J$18,M$4-1,Q38,Q38,(1/R38+1/S38)^2/(1/(R38^2*(M$4-1))+1/(S38^2*(Q38)))),2)</f>
        <v>26.164700739899413</v>
      </c>
      <c r="AA38" s="49">
        <f t="shared" si="7"/>
        <v>0.7080875518190841</v>
      </c>
      <c r="AB38" s="49">
        <f t="shared" si="8"/>
        <v>1.3165589046959738</v>
      </c>
      <c r="AC38" s="49">
        <f t="shared" si="9"/>
        <v>1.0399044291398343</v>
      </c>
      <c r="AD38" s="152">
        <f t="shared" si="10"/>
        <v>0.10274967334205365</v>
      </c>
    </row>
    <row r="39" spans="14:30" ht="12.75">
      <c r="N39" s="49">
        <f t="shared" si="11"/>
        <v>8.530612244897952</v>
      </c>
      <c r="O39" s="49">
        <f>IF(main!C$24=0,main!C$27^2,IF(main!C$24=1,main!C$28^2,IF(main!C$24=2,(N39*main!C$27)^2,N39*main!C$27)))</f>
        <v>88.0533277800915</v>
      </c>
      <c r="P39" s="49">
        <f t="shared" si="0"/>
        <v>0.22013331945022874</v>
      </c>
      <c r="Q39" s="49">
        <f t="shared" si="1"/>
        <v>26.229523557002327</v>
      </c>
      <c r="R39" s="49">
        <f t="shared" si="2"/>
        <v>0.1195867115126631</v>
      </c>
      <c r="S39" s="49">
        <f t="shared" si="3"/>
        <v>0.010765035809324464</v>
      </c>
      <c r="T39" s="49">
        <f t="shared" si="4"/>
        <v>0.9174154851738713</v>
      </c>
      <c r="U39" s="49">
        <f t="shared" si="5"/>
        <v>0.08258451482612872</v>
      </c>
      <c r="V39" s="49">
        <f>IF(main!J$18=4,U39^2,1)*P39</f>
        <v>0.22013331945022874</v>
      </c>
      <c r="W39" s="49">
        <f>IF(main!J$18=4,T39^2,0)*O39/M$4</f>
        <v>0</v>
      </c>
      <c r="X39" s="49">
        <f>IF(main!J$18=4,T39,1)*(-2*M$7*SQRT(M$6*O39)/M$4)</f>
        <v>0</v>
      </c>
      <c r="Y39" s="49">
        <f t="shared" si="6"/>
        <v>2.249474009507607</v>
      </c>
      <c r="Z39" s="49">
        <f>MAX(CHOOSE(main!J$18,M$4-1,Q39,Q39,(1/R39+1/S39)^2/(1/(R39^2*(M$4-1))+1/(S39^2*(Q39)))),2)</f>
        <v>26.229523557002327</v>
      </c>
      <c r="AA39" s="49">
        <f t="shared" si="7"/>
        <v>0.6532139286302249</v>
      </c>
      <c r="AB39" s="49">
        <f t="shared" si="8"/>
        <v>1.3715290697488869</v>
      </c>
      <c r="AC39" s="49">
        <f t="shared" si="9"/>
        <v>1.0398076982466726</v>
      </c>
      <c r="AD39" s="152">
        <f t="shared" si="10"/>
        <v>0.09358090454533341</v>
      </c>
    </row>
    <row r="40" spans="14:30" ht="12.75">
      <c r="N40" s="49">
        <f t="shared" si="11"/>
        <v>8.65306122448979</v>
      </c>
      <c r="O40" s="49">
        <f>IF(main!C$24=0,main!C$27^2,IF(main!C$24=1,main!C$28^2,IF(main!C$24=2,(N40*main!C$27)^2,N40*main!C$27)))</f>
        <v>90.59931695127018</v>
      </c>
      <c r="P40" s="49">
        <f t="shared" si="0"/>
        <v>0.22649829237817545</v>
      </c>
      <c r="Q40" s="49">
        <f t="shared" si="1"/>
        <v>26.295359624427828</v>
      </c>
      <c r="R40" s="49">
        <f t="shared" si="2"/>
        <v>0.11814782939851041</v>
      </c>
      <c r="S40" s="49">
        <f t="shared" si="3"/>
        <v>0.010477862079739992</v>
      </c>
      <c r="T40" s="49">
        <f t="shared" si="4"/>
        <v>0.9185398969729799</v>
      </c>
      <c r="U40" s="49">
        <f t="shared" si="5"/>
        <v>0.08146010302702011</v>
      </c>
      <c r="V40" s="49">
        <f>IF(main!J$18=4,U40^2,1)*P40</f>
        <v>0.22649829237817545</v>
      </c>
      <c r="W40" s="49">
        <f>IF(main!J$18=4,T40^2,0)*O40/M$4</f>
        <v>0</v>
      </c>
      <c r="X40" s="49">
        <f>IF(main!J$18=4,T40,1)*(-2*M$7*SQRT(M$6*O40)/M$4)</f>
        <v>0</v>
      </c>
      <c r="Y40" s="49">
        <f t="shared" si="6"/>
        <v>2.2508883340535077</v>
      </c>
      <c r="Z40" s="49">
        <f>MAX(CHOOSE(main!J$18,M$4-1,Q40,Q40,(1/R40+1/S40)^2/(1/(R40^2*(M$4-1))+1/(S40^2*(Q40)))),2)</f>
        <v>26.295359624427828</v>
      </c>
      <c r="AA40" s="49">
        <f t="shared" si="7"/>
        <v>0.5984031971433156</v>
      </c>
      <c r="AB40" s="49">
        <f t="shared" si="8"/>
        <v>1.4264373672865873</v>
      </c>
      <c r="AC40" s="49">
        <f t="shared" si="9"/>
        <v>1.039709934361445</v>
      </c>
      <c r="AD40" s="152">
        <f t="shared" si="10"/>
        <v>0.08503840543563257</v>
      </c>
    </row>
    <row r="41" spans="14:30" ht="12.75">
      <c r="N41" s="49">
        <f t="shared" si="11"/>
        <v>8.775510204081627</v>
      </c>
      <c r="O41" s="49">
        <f>IF(main!C$24=0,main!C$27^2,IF(main!C$24=1,main!C$28^2,IF(main!C$24=2,(N41*main!C$27)^2,N41*main!C$27)))</f>
        <v>93.18159100374831</v>
      </c>
      <c r="P41" s="49">
        <f t="shared" si="0"/>
        <v>0.23295397750937077</v>
      </c>
      <c r="Q41" s="49">
        <f t="shared" si="1"/>
        <v>26.362212173501536</v>
      </c>
      <c r="R41" s="49">
        <f t="shared" si="2"/>
        <v>0.11672338356830342</v>
      </c>
      <c r="S41" s="49">
        <f t="shared" si="3"/>
        <v>0.010201834001671737</v>
      </c>
      <c r="T41" s="49">
        <f t="shared" si="4"/>
        <v>0.9196232695362735</v>
      </c>
      <c r="U41" s="49">
        <f t="shared" si="5"/>
        <v>0.08037673046372651</v>
      </c>
      <c r="V41" s="49">
        <f>IF(main!J$18=4,U41^2,1)*P41</f>
        <v>0.23295397750937077</v>
      </c>
      <c r="W41" s="49">
        <f>IF(main!J$18=4,T41^2,0)*O41/M$4</f>
        <v>0</v>
      </c>
      <c r="X41" s="49">
        <f>IF(main!J$18=4,T41,1)*(-2*M$7*SQRT(M$6*O41)/M$4)</f>
        <v>0</v>
      </c>
      <c r="Y41" s="49">
        <f t="shared" si="6"/>
        <v>2.2523219080560777</v>
      </c>
      <c r="Z41" s="49">
        <f>MAX(CHOOSE(main!J$18,M$4-1,Q41,Q41,(1/R41+1/S41)^2/(1/(R41^2*(M$4-1))+1/(S41^2*(Q41)))),2)</f>
        <v>26.362212173501536</v>
      </c>
      <c r="AA41" s="49">
        <f t="shared" si="7"/>
        <v>0.5436566556221972</v>
      </c>
      <c r="AB41" s="49">
        <f t="shared" si="8"/>
        <v>1.481282484965039</v>
      </c>
      <c r="AC41" s="49">
        <f t="shared" si="9"/>
        <v>1.0396111513769803</v>
      </c>
      <c r="AD41" s="152">
        <f t="shared" si="10"/>
        <v>0.07710132066488229</v>
      </c>
    </row>
    <row r="42" spans="14:30" ht="12.75">
      <c r="N42" s="49">
        <f t="shared" si="11"/>
        <v>8.897959183673464</v>
      </c>
      <c r="O42" s="49">
        <f>IF(main!C$24=0,main!C$27^2,IF(main!C$24=1,main!C$28^2,IF(main!C$24=2,(N42*main!C$27)^2,N42*main!C$27)))</f>
        <v>95.80014993752594</v>
      </c>
      <c r="P42" s="49">
        <f t="shared" si="0"/>
        <v>0.23950037484381487</v>
      </c>
      <c r="Q42" s="49">
        <f t="shared" si="1"/>
        <v>26.43008447838728</v>
      </c>
      <c r="R42" s="49">
        <f t="shared" si="2"/>
        <v>0.11531357338638423</v>
      </c>
      <c r="S42" s="49">
        <f t="shared" si="3"/>
        <v>0.009936392191593183</v>
      </c>
      <c r="T42" s="49">
        <f t="shared" si="4"/>
        <v>0.9206675056097557</v>
      </c>
      <c r="U42" s="49">
        <f t="shared" si="5"/>
        <v>0.07933249439024426</v>
      </c>
      <c r="V42" s="49">
        <f>IF(main!J$18=4,U42^2,1)*P42</f>
        <v>0.23950037484381487</v>
      </c>
      <c r="W42" s="49">
        <f>IF(main!J$18=4,T42^2,0)*O42/M$4</f>
        <v>0</v>
      </c>
      <c r="X42" s="49">
        <f>IF(main!J$18=4,T42,1)*(-2*M$7*SQRT(M$6*O42)/M$4)</f>
        <v>0</v>
      </c>
      <c r="Y42" s="49">
        <f t="shared" si="6"/>
        <v>2.2537746947829134</v>
      </c>
      <c r="Z42" s="49">
        <f>MAX(CHOOSE(main!J$18,M$4-1,Q42,Q42,(1/R42+1/S42)^2/(1/(R42^2*(M$4-1))+1/(S42^2*(Q42)))),2)</f>
        <v>26.43008447838728</v>
      </c>
      <c r="AA42" s="49">
        <f t="shared" si="7"/>
        <v>0.4889755923152229</v>
      </c>
      <c r="AB42" s="49">
        <f t="shared" si="8"/>
        <v>1.5360631203793704</v>
      </c>
      <c r="AC42" s="49">
        <f t="shared" si="9"/>
        <v>1.0395113632642357</v>
      </c>
      <c r="AD42" s="152">
        <f t="shared" si="10"/>
        <v>0.06974698662680723</v>
      </c>
    </row>
    <row r="43" spans="14:30" ht="12.75">
      <c r="N43" s="49">
        <f t="shared" si="11"/>
        <v>9.020408163265301</v>
      </c>
      <c r="O43" s="49">
        <f>IF(main!C$24=0,main!C$27^2,IF(main!C$24=1,main!C$28^2,IF(main!C$24=2,(N43*main!C$27)^2,N43*main!C$27)))</f>
        <v>98.454993752603</v>
      </c>
      <c r="P43" s="49">
        <f t="shared" si="0"/>
        <v>0.2461374843815075</v>
      </c>
      <c r="Q43" s="49">
        <f t="shared" si="1"/>
        <v>26.498979855940707</v>
      </c>
      <c r="R43" s="49">
        <f t="shared" si="2"/>
        <v>0.11391857424845439</v>
      </c>
      <c r="S43" s="49">
        <f t="shared" si="3"/>
        <v>0.009681011283035197</v>
      </c>
      <c r="T43" s="49">
        <f t="shared" si="4"/>
        <v>0.9216744033452381</v>
      </c>
      <c r="U43" s="49">
        <f t="shared" si="5"/>
        <v>0.07832559665476191</v>
      </c>
      <c r="V43" s="49">
        <f>IF(main!J$18=4,U43^2,1)*P43</f>
        <v>0.2461374843815075</v>
      </c>
      <c r="W43" s="49">
        <f>IF(main!J$18=4,T43^2,0)*O43/M$4</f>
        <v>0</v>
      </c>
      <c r="X43" s="49">
        <f>IF(main!J$18=4,T43,1)*(-2*M$7*SQRT(M$6*O43)/M$4)</f>
        <v>0</v>
      </c>
      <c r="Y43" s="49">
        <f t="shared" si="6"/>
        <v>2.2552466571046077</v>
      </c>
      <c r="Z43" s="49">
        <f>MAX(CHOOSE(main!J$18,M$4-1,Q43,Q43,(1/R43+1/S43)^2/(1/(R43^2*(M$4-1))+1/(S43^2*(Q43)))),2)</f>
        <v>26.498979855940707</v>
      </c>
      <c r="AA43" s="49">
        <f t="shared" si="7"/>
        <v>0.43436128533822765</v>
      </c>
      <c r="AB43" s="49">
        <f t="shared" si="8"/>
        <v>1.590777981185035</v>
      </c>
      <c r="AC43" s="49">
        <f t="shared" si="9"/>
        <v>1.0394105840682835</v>
      </c>
      <c r="AD43" s="152">
        <f t="shared" si="10"/>
        <v>0.06295125625058118</v>
      </c>
    </row>
    <row r="44" spans="14:30" ht="12.75">
      <c r="N44" s="49">
        <f t="shared" si="11"/>
        <v>9.142857142857139</v>
      </c>
      <c r="O44" s="49">
        <f>IF(main!C$24=0,main!C$27^2,IF(main!C$24=1,main!C$28^2,IF(main!C$24=2,(N44*main!C$27)^2,N44*main!C$27)))</f>
        <v>101.14612244897951</v>
      </c>
      <c r="P44" s="49">
        <f t="shared" si="0"/>
        <v>0.2528653061224488</v>
      </c>
      <c r="Q44" s="49">
        <f t="shared" si="1"/>
        <v>26.568901665560265</v>
      </c>
      <c r="R44" s="49">
        <f t="shared" si="2"/>
        <v>0.11253853870774527</v>
      </c>
      <c r="S44" s="49">
        <f t="shared" si="3"/>
        <v>0.009435197522971825</v>
      </c>
      <c r="T44" s="49">
        <f t="shared" si="4"/>
        <v>0.9226456627914975</v>
      </c>
      <c r="U44" s="49">
        <f t="shared" si="5"/>
        <v>0.07735433720850249</v>
      </c>
      <c r="V44" s="49">
        <f>IF(main!J$18=4,U44^2,1)*P44</f>
        <v>0.2528653061224488</v>
      </c>
      <c r="W44" s="49">
        <f>IF(main!J$18=4,T44^2,0)*O44/M$4</f>
        <v>0</v>
      </c>
      <c r="X44" s="49">
        <f>IF(main!J$18=4,T44,1)*(-2*M$7*SQRT(M$6*O44)/M$4)</f>
        <v>0</v>
      </c>
      <c r="Y44" s="49">
        <f t="shared" si="6"/>
        <v>2.2567377574991845</v>
      </c>
      <c r="Z44" s="49">
        <f>MAX(CHOOSE(main!J$18,M$4-1,Q44,Q44,(1/R44+1/S44)^2/(1/(R44^2*(M$4-1))+1/(S44^2*(Q44)))),2)</f>
        <v>26.568901665560265</v>
      </c>
      <c r="AA44" s="49">
        <f t="shared" si="7"/>
        <v>0.37981500256046963</v>
      </c>
      <c r="AB44" s="49">
        <f t="shared" si="8"/>
        <v>1.6454257852159955</v>
      </c>
      <c r="AC44" s="49">
        <f t="shared" si="9"/>
        <v>1.0393088279043066</v>
      </c>
      <c r="AD44" s="152">
        <f t="shared" si="10"/>
        <v>0.05668881482853738</v>
      </c>
    </row>
    <row r="45" spans="14:30" ht="12.75">
      <c r="N45" s="49">
        <f t="shared" si="11"/>
        <v>9.265306122448976</v>
      </c>
      <c r="O45" s="49">
        <f>IF(main!C$24=0,main!C$27^2,IF(main!C$24=1,main!C$28^2,IF(main!C$24=2,(N45*main!C$27)^2,N45*main!C$27)))</f>
        <v>103.87353602665549</v>
      </c>
      <c r="P45" s="49">
        <f t="shared" si="0"/>
        <v>0.2596838400666387</v>
      </c>
      <c r="Q45" s="49">
        <f t="shared" si="1"/>
        <v>26.63985330903525</v>
      </c>
      <c r="R45" s="49">
        <f t="shared" si="2"/>
        <v>0.11117359757724722</v>
      </c>
      <c r="S45" s="49">
        <f t="shared" si="3"/>
        <v>0.009198486559712397</v>
      </c>
      <c r="T45" s="49">
        <f t="shared" si="4"/>
        <v>0.9235828919498782</v>
      </c>
      <c r="U45" s="49">
        <f t="shared" si="5"/>
        <v>0.07641710805012181</v>
      </c>
      <c r="V45" s="49">
        <f>IF(main!J$18=4,U45^2,1)*P45</f>
        <v>0.2596838400666387</v>
      </c>
      <c r="W45" s="49">
        <f>IF(main!J$18=4,T45^2,0)*O45/M$4</f>
        <v>0</v>
      </c>
      <c r="X45" s="49">
        <f>IF(main!J$18=4,T45,1)*(-2*M$7*SQRT(M$6*O45)/M$4)</f>
        <v>0</v>
      </c>
      <c r="Y45" s="49">
        <f t="shared" si="6"/>
        <v>2.2582479580565633</v>
      </c>
      <c r="Z45" s="49">
        <f>MAX(CHOOSE(main!J$18,M$4-1,Q45,Q45,(1/R45+1/S45)^2/(1/(R45^2*(M$4-1))+1/(S45^2*(Q45)))),2)</f>
        <v>26.63985330903525</v>
      </c>
      <c r="AA45" s="49">
        <f t="shared" si="7"/>
        <v>0.3253380014935551</v>
      </c>
      <c r="AB45" s="49">
        <f t="shared" si="8"/>
        <v>1.700005260599903</v>
      </c>
      <c r="AC45" s="49">
        <f t="shared" si="9"/>
        <v>1.0392061089536055</v>
      </c>
      <c r="AD45" s="152">
        <f t="shared" si="10"/>
        <v>0.05093348321406288</v>
      </c>
    </row>
    <row r="46" spans="14:30" ht="12.75">
      <c r="N46" s="49">
        <f t="shared" si="11"/>
        <v>9.387755102040813</v>
      </c>
      <c r="O46" s="49">
        <f>IF(main!C$24=0,main!C$27^2,IF(main!C$24=1,main!C$28^2,IF(main!C$24=2,(N46*main!C$27)^2,N46*main!C$27)))</f>
        <v>106.63723448563093</v>
      </c>
      <c r="P46" s="49">
        <f t="shared" si="0"/>
        <v>0.2665930862140773</v>
      </c>
      <c r="Q46" s="49">
        <f t="shared" si="1"/>
        <v>26.71183823039123</v>
      </c>
      <c r="R46" s="49">
        <f t="shared" si="2"/>
        <v>0.10982386100626287</v>
      </c>
      <c r="S46" s="49">
        <f t="shared" si="3"/>
        <v>0.00897044140549519</v>
      </c>
      <c r="T46" s="49">
        <f t="shared" si="4"/>
        <v>0.9244876124243538</v>
      </c>
      <c r="U46" s="49">
        <f t="shared" si="5"/>
        <v>0.07551238757564616</v>
      </c>
      <c r="V46" s="49">
        <f>IF(main!J$18=4,U46^2,1)*P46</f>
        <v>0.2665930862140773</v>
      </c>
      <c r="W46" s="49">
        <f>IF(main!J$18=4,T46^2,0)*O46/M$4</f>
        <v>0</v>
      </c>
      <c r="X46" s="49">
        <f>IF(main!J$18=4,T46,1)*(-2*M$7*SQRT(M$6*O46)/M$4)</f>
        <v>0</v>
      </c>
      <c r="Y46" s="49">
        <f t="shared" si="6"/>
        <v>2.259777220483045</v>
      </c>
      <c r="Z46" s="49">
        <f>MAX(CHOOSE(main!J$18,M$4-1,Q46,Q46,(1/R46+1/S46)^2/(1/(R46^2*(M$4-1))+1/(S46^2*(Q46)))),2)</f>
        <v>26.71183823039123</v>
      </c>
      <c r="AA46" s="49">
        <f t="shared" si="7"/>
        <v>0.2709315291833566</v>
      </c>
      <c r="AB46" s="49">
        <f t="shared" si="8"/>
        <v>1.7545151458702737</v>
      </c>
      <c r="AC46" s="49">
        <f t="shared" si="9"/>
        <v>1.0391024414596162</v>
      </c>
      <c r="AD46" s="152">
        <f t="shared" si="10"/>
        <v>0.04565850524199311</v>
      </c>
    </row>
    <row r="47" spans="14:30" ht="12.75">
      <c r="N47" s="49">
        <f t="shared" si="11"/>
        <v>9.51020408163265</v>
      </c>
      <c r="O47" s="49">
        <f>IF(main!C$24=0,main!C$27^2,IF(main!C$24=1,main!C$28^2,IF(main!C$24=2,(N47*main!C$27)^2,N47*main!C$27)))</f>
        <v>109.43721782590585</v>
      </c>
      <c r="P47" s="49">
        <f t="shared" si="0"/>
        <v>0.27359304456476463</v>
      </c>
      <c r="Q47" s="49">
        <f t="shared" si="1"/>
        <v>26.78485991573251</v>
      </c>
      <c r="R47" s="49">
        <f t="shared" si="2"/>
        <v>0.1084894195298234</v>
      </c>
      <c r="S47" s="49">
        <f t="shared" si="3"/>
        <v>0.008750650558569224</v>
      </c>
      <c r="T47" s="49">
        <f t="shared" si="4"/>
        <v>0.9253612646941296</v>
      </c>
      <c r="U47" s="49">
        <f t="shared" si="5"/>
        <v>0.0746387353058704</v>
      </c>
      <c r="V47" s="49">
        <f>IF(main!J$18=4,U47^2,1)*P47</f>
        <v>0.27359304456476463</v>
      </c>
      <c r="W47" s="49">
        <f>IF(main!J$18=4,T47^2,0)*O47/M$4</f>
        <v>0</v>
      </c>
      <c r="X47" s="49">
        <f>IF(main!J$18=4,T47,1)*(-2*M$7*SQRT(M$6*O47)/M$4)</f>
        <v>0</v>
      </c>
      <c r="Y47" s="49">
        <f t="shared" si="6"/>
        <v>2.2613255061058246</v>
      </c>
      <c r="Z47" s="49">
        <f>MAX(CHOOSE(main!J$18,M$4-1,Q47,Q47,(1/R47+1/S47)^2/(1/(R47^2*(M$4-1))+1/(S47^2*(Q47)))),2)</f>
        <v>26.78485991573251</v>
      </c>
      <c r="AA47" s="49">
        <f t="shared" si="7"/>
        <v>0.21659682210493228</v>
      </c>
      <c r="AB47" s="49">
        <f t="shared" si="8"/>
        <v>1.808954190075651</v>
      </c>
      <c r="AC47" s="49">
        <f t="shared" si="9"/>
        <v>1.0389978397239417</v>
      </c>
      <c r="AD47" s="152">
        <f t="shared" si="10"/>
        <v>0.04083681675726081</v>
      </c>
    </row>
    <row r="48" spans="14:30" ht="12.75">
      <c r="N48" s="49">
        <f t="shared" si="11"/>
        <v>9.632653061224488</v>
      </c>
      <c r="O48" s="49">
        <f>IF(main!C$24=0,main!C$27^2,IF(main!C$24=1,main!C$28^2,IF(main!C$24=2,(N48*main!C$27)^2,N48*main!C$27)))</f>
        <v>112.2734860474802</v>
      </c>
      <c r="P48" s="49">
        <f t="shared" si="0"/>
        <v>0.2806837151187005</v>
      </c>
      <c r="Q48" s="49">
        <f t="shared" si="1"/>
        <v>26.85892189308183</v>
      </c>
      <c r="R48" s="49">
        <f t="shared" si="2"/>
        <v>0.10717034508976099</v>
      </c>
      <c r="S48" s="49">
        <f t="shared" si="3"/>
        <v>0.008538726270982826</v>
      </c>
      <c r="T48" s="49">
        <f t="shared" si="4"/>
        <v>0.9262052130350107</v>
      </c>
      <c r="U48" s="49">
        <f t="shared" si="5"/>
        <v>0.07379478696498931</v>
      </c>
      <c r="V48" s="49">
        <f>IF(main!J$18=4,U48^2,1)*P48</f>
        <v>0.2806837151187005</v>
      </c>
      <c r="W48" s="49">
        <f>IF(main!J$18=4,T48^2,0)*O48/M$4</f>
        <v>0</v>
      </c>
      <c r="X48" s="49">
        <f>IF(main!J$18=4,T48,1)*(-2*M$7*SQRT(M$6*O48)/M$4)</f>
        <v>0</v>
      </c>
      <c r="Y48" s="49">
        <f t="shared" si="6"/>
        <v>2.262892775877527</v>
      </c>
      <c r="Z48" s="49">
        <f>MAX(CHOOSE(main!J$18,M$4-1,Q48,Q48,(1/R48+1/S48)^2/(1/(R48^2*(M$4-1))+1/(S48^2*(Q48)))),2)</f>
        <v>26.85892189308183</v>
      </c>
      <c r="AA48" s="49">
        <f t="shared" si="7"/>
        <v>0.16233510606045332</v>
      </c>
      <c r="AB48" s="49">
        <f t="shared" si="8"/>
        <v>1.8633211528857334</v>
      </c>
      <c r="AC48" s="49">
        <f t="shared" si="9"/>
        <v>1.0388923181024006</v>
      </c>
      <c r="AD48" s="152">
        <f t="shared" si="10"/>
        <v>0.036441294174793915</v>
      </c>
    </row>
    <row r="49" spans="14:30" ht="12.75">
      <c r="N49" s="49">
        <f t="shared" si="11"/>
        <v>9.755102040816325</v>
      </c>
      <c r="O49" s="49">
        <f>IF(main!C$24=0,main!C$27^2,IF(main!C$24=1,main!C$28^2,IF(main!C$24=2,(N49*main!C$27)^2,N49*main!C$27)))</f>
        <v>115.14603915035401</v>
      </c>
      <c r="P49" s="49">
        <f t="shared" si="0"/>
        <v>0.28786509787588505</v>
      </c>
      <c r="Q49" s="49">
        <f t="shared" si="1"/>
        <v>26.934027732217178</v>
      </c>
      <c r="R49" s="49">
        <f t="shared" si="2"/>
        <v>0.10586669202646469</v>
      </c>
      <c r="S49" s="49">
        <f t="shared" si="3"/>
        <v>0.008334302949586527</v>
      </c>
      <c r="T49" s="49">
        <f t="shared" si="4"/>
        <v>0.9270207501140049</v>
      </c>
      <c r="U49" s="49">
        <f t="shared" si="5"/>
        <v>0.07297924988599513</v>
      </c>
      <c r="V49" s="49">
        <f>IF(main!J$18=4,U49^2,1)*P49</f>
        <v>0.28786509787588505</v>
      </c>
      <c r="W49" s="49">
        <f>IF(main!J$18=4,T49^2,0)*O49/M$4</f>
        <v>0</v>
      </c>
      <c r="X49" s="49">
        <f>IF(main!J$18=4,T49,1)*(-2*M$7*SQRT(M$6*O49)/M$4)</f>
        <v>0</v>
      </c>
      <c r="Y49" s="49">
        <f t="shared" si="6"/>
        <v>2.264478990380764</v>
      </c>
      <c r="Z49" s="49">
        <f>MAX(CHOOSE(main!J$18,M$4-1,Q49,Q49,(1/R49+1/S49)^2/(1/(R49^2*(M$4-1))+1/(S49^2*(Q49)))),2)</f>
        <v>26.934027732217178</v>
      </c>
      <c r="AA49" s="49">
        <f t="shared" si="7"/>
        <v>0.10814759608014553</v>
      </c>
      <c r="AB49" s="49">
        <f t="shared" si="8"/>
        <v>1.9176148046944768</v>
      </c>
      <c r="AC49" s="49">
        <f t="shared" si="9"/>
        <v>1.0387858910010908</v>
      </c>
      <c r="AD49" s="152">
        <f t="shared" si="10"/>
        <v>0.03244498102233895</v>
      </c>
    </row>
    <row r="50" spans="14:30" ht="12.75">
      <c r="N50" s="49">
        <f t="shared" si="11"/>
        <v>9.877551020408163</v>
      </c>
      <c r="O50" s="49">
        <f>IF(main!C$24=0,main!C$27^2,IF(main!C$24=1,main!C$28^2,IF(main!C$24=2,(N50*main!C$27)^2,N50*main!C$27)))</f>
        <v>118.05487713452727</v>
      </c>
      <c r="P50" s="49">
        <f t="shared" si="0"/>
        <v>0.2951371928363182</v>
      </c>
      <c r="Q50" s="49">
        <f t="shared" si="1"/>
        <v>27.010181044505615</v>
      </c>
      <c r="R50" s="49">
        <f t="shared" si="2"/>
        <v>0.10457849804056221</v>
      </c>
      <c r="S50" s="49">
        <f t="shared" si="3"/>
        <v>0.008137035678918875</v>
      </c>
      <c r="T50" s="49">
        <f t="shared" si="4"/>
        <v>0.927809101279955</v>
      </c>
      <c r="U50" s="49">
        <f t="shared" si="5"/>
        <v>0.07219089872004503</v>
      </c>
      <c r="V50" s="49">
        <f>IF(main!J$18=4,U50^2,1)*P50</f>
        <v>0.2951371928363182</v>
      </c>
      <c r="W50" s="49">
        <f>IF(main!J$18=4,T50^2,0)*O50/M$4</f>
        <v>0</v>
      </c>
      <c r="X50" s="49">
        <f>IF(main!J$18=4,T50,1)*(-2*M$7*SQRT(M$6*O50)/M$4)</f>
        <v>0</v>
      </c>
      <c r="Y50" s="49">
        <f t="shared" si="6"/>
        <v>2.2660841098327125</v>
      </c>
      <c r="Z50" s="49">
        <f>MAX(CHOOSE(main!J$18,M$4-1,Q50,Q50,(1/R50+1/S50)^2/(1/(R50^2*(M$4-1))+1/(S50^2*(Q50)))),2)</f>
        <v>27.010181044505615</v>
      </c>
      <c r="AA50" s="49">
        <f t="shared" si="7"/>
        <v>0.05403549632624924</v>
      </c>
      <c r="AB50" s="49">
        <f t="shared" si="8"/>
        <v>1.971833926720148</v>
      </c>
      <c r="AC50" s="49">
        <f t="shared" si="9"/>
        <v>1.0386785728724741</v>
      </c>
      <c r="AD50" s="152">
        <f t="shared" si="10"/>
        <v>0.028821291427039486</v>
      </c>
    </row>
    <row r="51" spans="14:30" ht="12.75">
      <c r="N51" s="49">
        <f>N50+M$10</f>
        <v>10</v>
      </c>
      <c r="O51" s="49">
        <f>IF(main!C$24=0,main!C$27^2,IF(main!C$24=1,main!C$28^2,IF(main!C$24=2,(N51*main!C$27)^2,N51*main!C$27)))</f>
        <v>121</v>
      </c>
      <c r="P51" s="49">
        <f>O51/M$5</f>
        <v>0.3025</v>
      </c>
      <c r="Q51" s="49">
        <f t="shared" si="1"/>
        <v>27.087385482734323</v>
      </c>
      <c r="R51" s="49">
        <f>M$4/(M$6+O51-2*M$7*SQRT(M$6*O51))</f>
        <v>0.10330578512396695</v>
      </c>
      <c r="S51" s="49">
        <f>(M$11+O51)^-1</f>
        <v>0.007946598855689765</v>
      </c>
      <c r="T51" s="49">
        <f>R51/(R51+S51)</f>
        <v>0.9285714285714285</v>
      </c>
      <c r="U51" s="49">
        <f t="shared" si="5"/>
        <v>0.07142857142857151</v>
      </c>
      <c r="V51" s="49">
        <f>IF(main!J$18=4,U51^2,1)*P51</f>
        <v>0.3025</v>
      </c>
      <c r="W51" s="49">
        <f>IF(main!J$18=4,T51^2,0)*O51/M$4</f>
        <v>0</v>
      </c>
      <c r="X51" s="49">
        <f>IF(main!J$18=4,T51,1)*(-2*M$7*SQRT(M$6*O51)/M$4)</f>
        <v>0</v>
      </c>
      <c r="Y51" s="49">
        <f t="shared" si="6"/>
        <v>2.267708094089713</v>
      </c>
      <c r="Z51" s="49">
        <f>MAX(CHOOSE(main!J$18,M$4-1,Q51,Q51,(1/R51+1/S51)^2/(1/(R51^2*(M$4-1))+1/(S51^2*(Q51)))),2)</f>
        <v>27.087385482734323</v>
      </c>
      <c r="AA51" s="49">
        <f>ABS(N51-M$9)/Y51</f>
        <v>0</v>
      </c>
      <c r="AB51" s="49">
        <f>M$8*(1-1/(4*Z51))^2-AA51</f>
        <v>2.0259773111023454</v>
      </c>
      <c r="AC51" s="49">
        <f t="shared" si="9"/>
        <v>1.03857037821148</v>
      </c>
      <c r="AD51" s="152">
        <f>1-NORMSDIST(AB51/AC51)</f>
        <v>0.025544189986769883</v>
      </c>
    </row>
  </sheetData>
  <sheetProtection sheet="1" objects="1" scenarios="1"/>
  <mergeCells count="6">
    <mergeCell ref="G25:J27"/>
    <mergeCell ref="D11:D13"/>
    <mergeCell ref="D15:D17"/>
    <mergeCell ref="B4:D6"/>
    <mergeCell ref="B19:C19"/>
    <mergeCell ref="B18:C18"/>
  </mergeCell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6">
    <tabColor indexed="11"/>
  </sheetPr>
  <dimension ref="A2:T238"/>
  <sheetViews>
    <sheetView showGridLines="0" showRowColHeaders="0" zoomScale="122" zoomScaleNormal="122" workbookViewId="0" topLeftCell="A1">
      <selection activeCell="A1" sqref="A1"/>
    </sheetView>
  </sheetViews>
  <sheetFormatPr defaultColWidth="9.140625" defaultRowHeight="12.75"/>
  <cols>
    <col min="1" max="1" width="9.7109375" style="0" customWidth="1"/>
    <col min="3" max="3" width="3.7109375" style="1" customWidth="1"/>
    <col min="4" max="4" width="9.140625" style="49" customWidth="1"/>
    <col min="5" max="5" width="9.28125" style="0" customWidth="1"/>
    <col min="6" max="7" width="9.7109375" style="0" customWidth="1"/>
    <col min="12" max="13" width="9.28125" style="0" customWidth="1"/>
    <col min="14" max="15" width="9.7109375" style="0" customWidth="1"/>
  </cols>
  <sheetData>
    <row r="1" ht="13.5" thickBot="1"/>
    <row r="2" spans="1:5" ht="12.75">
      <c r="A2" s="200" t="s">
        <v>75</v>
      </c>
      <c r="B2" s="202" t="s">
        <v>34</v>
      </c>
      <c r="C2" s="80"/>
      <c r="D2" s="204" t="str">
        <f>IF(F3=TRUE,"Standard deviations are entered.","Variances are entered.")</f>
        <v>Standard deviations are entered.</v>
      </c>
      <c r="E2" s="205"/>
    </row>
    <row r="3" spans="1:6" ht="13.5" thickBot="1">
      <c r="A3" s="201"/>
      <c r="B3" s="203"/>
      <c r="C3" s="81"/>
      <c r="D3" s="204"/>
      <c r="E3" s="205"/>
      <c r="F3" t="b">
        <v>1</v>
      </c>
    </row>
    <row r="4" spans="1:20" ht="12.75" customHeight="1">
      <c r="A4" s="82">
        <v>4.08</v>
      </c>
      <c r="B4" s="82">
        <v>3.79</v>
      </c>
      <c r="C4" s="83"/>
      <c r="D4" s="204"/>
      <c r="E4" s="205"/>
      <c r="I4" s="61"/>
      <c r="J4" s="61"/>
      <c r="K4" s="61"/>
      <c r="L4" s="61"/>
      <c r="M4" s="61"/>
      <c r="P4">
        <f aca="true" t="shared" si="0" ref="P4:P35">IF(B4&gt;0,B4," ")</f>
        <v>3.79</v>
      </c>
      <c r="Q4">
        <f aca="true" t="shared" si="1" ref="Q4:Q35">IF(B4&gt;0,IF(F$3=TRUE,A4,SQRT(A4))," ")</f>
        <v>4.08</v>
      </c>
      <c r="R4">
        <f aca="true" t="shared" si="2" ref="R4:R35">IF(B4&gt;0,IF(F$3=TRUE,A4^2,A4)," ")</f>
        <v>16.6464</v>
      </c>
      <c r="S4">
        <f aca="true" t="shared" si="3" ref="S4:S35">IF(B4&gt;0,Q4/P4," ")</f>
        <v>1.0765171503957784</v>
      </c>
      <c r="T4">
        <f aca="true" t="shared" si="4" ref="T4:T35">IF(B4&gt;0,R4/P4," ")</f>
        <v>4.392189973614776</v>
      </c>
    </row>
    <row r="5" spans="1:20" ht="12.75" customHeight="1">
      <c r="A5" s="82">
        <v>1.86</v>
      </c>
      <c r="B5" s="82">
        <v>1.2</v>
      </c>
      <c r="C5" s="83"/>
      <c r="E5" s="65"/>
      <c r="F5" s="53"/>
      <c r="I5" s="61"/>
      <c r="J5" s="61"/>
      <c r="K5" s="61"/>
      <c r="L5" s="61"/>
      <c r="M5" s="61"/>
      <c r="P5">
        <f t="shared" si="0"/>
        <v>1.2</v>
      </c>
      <c r="Q5">
        <f t="shared" si="1"/>
        <v>1.86</v>
      </c>
      <c r="R5">
        <f t="shared" si="2"/>
        <v>3.4596000000000005</v>
      </c>
      <c r="S5">
        <f t="shared" si="3"/>
        <v>1.55</v>
      </c>
      <c r="T5">
        <f t="shared" si="4"/>
        <v>2.8830000000000005</v>
      </c>
    </row>
    <row r="6" spans="1:20" ht="15.75">
      <c r="A6" s="82">
        <v>5.95</v>
      </c>
      <c r="B6" s="82">
        <v>5.78</v>
      </c>
      <c r="C6" s="83"/>
      <c r="D6" s="49">
        <f aca="true" t="shared" si="5" ref="D6:D20">IF(ROW(D6)-($J$10+2)&gt;0," ",(A6-($F$5+$F$6*B6))^2)</f>
        <v>35.4025</v>
      </c>
      <c r="E6" s="65"/>
      <c r="F6" s="53"/>
      <c r="I6" s="64"/>
      <c r="J6" s="64"/>
      <c r="K6" s="64"/>
      <c r="L6" s="64"/>
      <c r="M6" s="64"/>
      <c r="P6">
        <f t="shared" si="0"/>
        <v>5.78</v>
      </c>
      <c r="Q6">
        <f t="shared" si="1"/>
        <v>5.95</v>
      </c>
      <c r="R6">
        <f t="shared" si="2"/>
        <v>35.4025</v>
      </c>
      <c r="S6">
        <f t="shared" si="3"/>
        <v>1.0294117647058822</v>
      </c>
      <c r="T6">
        <f t="shared" si="4"/>
        <v>6.125</v>
      </c>
    </row>
    <row r="7" spans="1:20" ht="15.75">
      <c r="A7" s="82">
        <v>10.97</v>
      </c>
      <c r="B7" s="82">
        <v>9.51</v>
      </c>
      <c r="C7" s="83"/>
      <c r="D7" s="49">
        <f t="shared" si="5"/>
        <v>120.34090000000002</v>
      </c>
      <c r="E7" s="65"/>
      <c r="F7" s="53"/>
      <c r="H7" s="84">
        <f>SUM(D4:D203)/(J10-2)</f>
        <v>59.63835</v>
      </c>
      <c r="I7">
        <f>MIN(B4:B203)</f>
        <v>1.2</v>
      </c>
      <c r="J7">
        <f>F5+F6*I7</f>
        <v>0</v>
      </c>
      <c r="P7">
        <f t="shared" si="0"/>
        <v>9.51</v>
      </c>
      <c r="Q7">
        <f t="shared" si="1"/>
        <v>10.97</v>
      </c>
      <c r="R7">
        <f t="shared" si="2"/>
        <v>120.34090000000002</v>
      </c>
      <c r="S7">
        <f t="shared" si="3"/>
        <v>1.153522607781283</v>
      </c>
      <c r="T7">
        <f t="shared" si="4"/>
        <v>12.654143007360675</v>
      </c>
    </row>
    <row r="8" spans="1:20" ht="15.75">
      <c r="A8" s="82">
        <v>9.1</v>
      </c>
      <c r="B8" s="82">
        <v>8.81</v>
      </c>
      <c r="C8" s="83"/>
      <c r="D8" s="49">
        <f t="shared" si="5"/>
        <v>82.80999999999999</v>
      </c>
      <c r="E8" s="65"/>
      <c r="F8" s="85"/>
      <c r="I8">
        <f>MAX(B4:B203)</f>
        <v>14.4</v>
      </c>
      <c r="J8">
        <f>F5+F6*I8</f>
        <v>0</v>
      </c>
      <c r="K8" s="67"/>
      <c r="L8" s="67"/>
      <c r="P8">
        <f t="shared" si="0"/>
        <v>8.81</v>
      </c>
      <c r="Q8">
        <f t="shared" si="1"/>
        <v>9.1</v>
      </c>
      <c r="R8">
        <f t="shared" si="2"/>
        <v>82.80999999999999</v>
      </c>
      <c r="S8">
        <f t="shared" si="3"/>
        <v>1.0329171396140748</v>
      </c>
      <c r="T8">
        <f t="shared" si="4"/>
        <v>9.399545970488079</v>
      </c>
    </row>
    <row r="9" spans="1:20" ht="12.75" customHeight="1">
      <c r="A9" s="82">
        <v>10.06</v>
      </c>
      <c r="B9" s="82">
        <v>14.4</v>
      </c>
      <c r="C9" s="83"/>
      <c r="D9" s="49" t="str">
        <f t="shared" si="5"/>
        <v> </v>
      </c>
      <c r="E9" s="1"/>
      <c r="F9" s="1"/>
      <c r="J9" s="67"/>
      <c r="K9" s="67"/>
      <c r="L9" s="67"/>
      <c r="P9">
        <f t="shared" si="0"/>
        <v>14.4</v>
      </c>
      <c r="Q9">
        <f t="shared" si="1"/>
        <v>10.06</v>
      </c>
      <c r="R9">
        <f t="shared" si="2"/>
        <v>101.20360000000001</v>
      </c>
      <c r="S9">
        <f t="shared" si="3"/>
        <v>0.6986111111111112</v>
      </c>
      <c r="T9">
        <f t="shared" si="4"/>
        <v>7.028027777777778</v>
      </c>
    </row>
    <row r="10" spans="1:20" ht="12.75">
      <c r="A10" s="82"/>
      <c r="B10" s="82"/>
      <c r="C10" s="86"/>
      <c r="D10" s="49" t="str">
        <f t="shared" si="5"/>
        <v> </v>
      </c>
      <c r="E10" s="1"/>
      <c r="F10" s="1"/>
      <c r="J10">
        <f>COUNT(A4:A203)</f>
        <v>6</v>
      </c>
      <c r="P10" t="str">
        <f t="shared" si="0"/>
        <v> </v>
      </c>
      <c r="Q10" t="str">
        <f t="shared" si="1"/>
        <v> </v>
      </c>
      <c r="R10" t="str">
        <f t="shared" si="2"/>
        <v> </v>
      </c>
      <c r="S10" t="str">
        <f t="shared" si="3"/>
        <v> </v>
      </c>
      <c r="T10" t="str">
        <f t="shared" si="4"/>
        <v> </v>
      </c>
    </row>
    <row r="11" spans="1:20" ht="12.75" customHeight="1">
      <c r="A11" s="82"/>
      <c r="B11" s="82"/>
      <c r="C11" s="87"/>
      <c r="D11" s="49" t="str">
        <f t="shared" si="5"/>
        <v> </v>
      </c>
      <c r="E11" s="65"/>
      <c r="F11" s="1"/>
      <c r="H11" s="73"/>
      <c r="P11" t="str">
        <f t="shared" si="0"/>
        <v> </v>
      </c>
      <c r="Q11" t="str">
        <f t="shared" si="1"/>
        <v> </v>
      </c>
      <c r="R11" t="str">
        <f t="shared" si="2"/>
        <v> </v>
      </c>
      <c r="S11" t="str">
        <f t="shared" si="3"/>
        <v> </v>
      </c>
      <c r="T11" t="str">
        <f t="shared" si="4"/>
        <v> </v>
      </c>
    </row>
    <row r="12" spans="1:20" ht="12.75">
      <c r="A12" s="82"/>
      <c r="B12" s="82"/>
      <c r="C12" s="77"/>
      <c r="D12" s="49" t="str">
        <f t="shared" si="5"/>
        <v> </v>
      </c>
      <c r="E12" s="65"/>
      <c r="F12" s="77"/>
      <c r="H12" s="73"/>
      <c r="P12" t="str">
        <f t="shared" si="0"/>
        <v> </v>
      </c>
      <c r="Q12" t="str">
        <f t="shared" si="1"/>
        <v> </v>
      </c>
      <c r="R12" t="str">
        <f t="shared" si="2"/>
        <v> </v>
      </c>
      <c r="S12" t="str">
        <f t="shared" si="3"/>
        <v> </v>
      </c>
      <c r="T12" t="str">
        <f t="shared" si="4"/>
        <v> </v>
      </c>
    </row>
    <row r="13" spans="1:20" ht="12.75" customHeight="1">
      <c r="A13" s="82"/>
      <c r="B13" s="82"/>
      <c r="C13" s="77"/>
      <c r="D13" s="49" t="str">
        <f t="shared" si="5"/>
        <v> </v>
      </c>
      <c r="E13" s="1"/>
      <c r="F13" s="1"/>
      <c r="H13" s="73"/>
      <c r="P13" t="str">
        <f t="shared" si="0"/>
        <v> </v>
      </c>
      <c r="Q13" t="str">
        <f t="shared" si="1"/>
        <v> </v>
      </c>
      <c r="R13" t="str">
        <f t="shared" si="2"/>
        <v> </v>
      </c>
      <c r="S13" t="str">
        <f t="shared" si="3"/>
        <v> </v>
      </c>
      <c r="T13" t="str">
        <f t="shared" si="4"/>
        <v> </v>
      </c>
    </row>
    <row r="14" spans="1:20" ht="12.75">
      <c r="A14" s="82"/>
      <c r="B14" s="82"/>
      <c r="C14" s="77"/>
      <c r="D14" s="49" t="str">
        <f t="shared" si="5"/>
        <v> </v>
      </c>
      <c r="E14" s="65"/>
      <c r="F14" s="65"/>
      <c r="P14" t="str">
        <f t="shared" si="0"/>
        <v> </v>
      </c>
      <c r="Q14" t="str">
        <f t="shared" si="1"/>
        <v> </v>
      </c>
      <c r="R14" t="str">
        <f t="shared" si="2"/>
        <v> </v>
      </c>
      <c r="S14" t="str">
        <f t="shared" si="3"/>
        <v> </v>
      </c>
      <c r="T14" t="str">
        <f t="shared" si="4"/>
        <v> </v>
      </c>
    </row>
    <row r="15" spans="1:20" ht="12.75" customHeight="1">
      <c r="A15" s="82"/>
      <c r="B15" s="82"/>
      <c r="C15" s="77"/>
      <c r="D15" s="49" t="str">
        <f t="shared" si="5"/>
        <v> </v>
      </c>
      <c r="E15" s="65"/>
      <c r="F15" s="77"/>
      <c r="P15" t="str">
        <f t="shared" si="0"/>
        <v> </v>
      </c>
      <c r="Q15" t="str">
        <f t="shared" si="1"/>
        <v> </v>
      </c>
      <c r="R15" t="str">
        <f t="shared" si="2"/>
        <v> </v>
      </c>
      <c r="S15" t="str">
        <f t="shared" si="3"/>
        <v> </v>
      </c>
      <c r="T15" t="str">
        <f t="shared" si="4"/>
        <v> </v>
      </c>
    </row>
    <row r="16" spans="1:20" ht="12.75" customHeight="1">
      <c r="A16" s="82"/>
      <c r="B16" s="82"/>
      <c r="C16" s="77"/>
      <c r="D16" s="49" t="str">
        <f t="shared" si="5"/>
        <v> </v>
      </c>
      <c r="E16" s="1"/>
      <c r="F16" s="1"/>
      <c r="P16" t="str">
        <f t="shared" si="0"/>
        <v> </v>
      </c>
      <c r="Q16" t="str">
        <f t="shared" si="1"/>
        <v> </v>
      </c>
      <c r="R16" t="str">
        <f t="shared" si="2"/>
        <v> </v>
      </c>
      <c r="S16" t="str">
        <f t="shared" si="3"/>
        <v> </v>
      </c>
      <c r="T16" t="str">
        <f t="shared" si="4"/>
        <v> </v>
      </c>
    </row>
    <row r="17" spans="1:20" ht="12.75">
      <c r="A17" s="82"/>
      <c r="B17" s="82"/>
      <c r="C17" s="77"/>
      <c r="D17" s="49" t="str">
        <f t="shared" si="5"/>
        <v> </v>
      </c>
      <c r="E17" s="65"/>
      <c r="F17" s="1"/>
      <c r="P17" t="str">
        <f t="shared" si="0"/>
        <v> </v>
      </c>
      <c r="Q17" t="str">
        <f t="shared" si="1"/>
        <v> </v>
      </c>
      <c r="R17" t="str">
        <f t="shared" si="2"/>
        <v> </v>
      </c>
      <c r="S17" t="str">
        <f t="shared" si="3"/>
        <v> </v>
      </c>
      <c r="T17" t="str">
        <f t="shared" si="4"/>
        <v> </v>
      </c>
    </row>
    <row r="18" spans="1:20" ht="12.75">
      <c r="A18" s="82"/>
      <c r="B18" s="82"/>
      <c r="C18" s="77"/>
      <c r="D18" s="49" t="str">
        <f t="shared" si="5"/>
        <v> </v>
      </c>
      <c r="E18" s="65"/>
      <c r="F18" s="53"/>
      <c r="G18" s="49" t="s">
        <v>88</v>
      </c>
      <c r="P18" t="str">
        <f t="shared" si="0"/>
        <v> </v>
      </c>
      <c r="Q18" t="str">
        <f t="shared" si="1"/>
        <v> </v>
      </c>
      <c r="R18" t="str">
        <f t="shared" si="2"/>
        <v> </v>
      </c>
      <c r="S18" t="str">
        <f t="shared" si="3"/>
        <v> </v>
      </c>
      <c r="T18" t="str">
        <f t="shared" si="4"/>
        <v> </v>
      </c>
    </row>
    <row r="19" spans="1:20" ht="12.75">
      <c r="A19" s="82"/>
      <c r="B19" s="82"/>
      <c r="C19" s="77"/>
      <c r="D19" s="49" t="str">
        <f t="shared" si="5"/>
        <v> </v>
      </c>
      <c r="G19" t="s">
        <v>87</v>
      </c>
      <c r="P19" t="str">
        <f t="shared" si="0"/>
        <v> </v>
      </c>
      <c r="Q19" t="str">
        <f t="shared" si="1"/>
        <v> </v>
      </c>
      <c r="R19" t="str">
        <f t="shared" si="2"/>
        <v> </v>
      </c>
      <c r="S19" t="str">
        <f t="shared" si="3"/>
        <v> </v>
      </c>
      <c r="T19" t="str">
        <f t="shared" si="4"/>
        <v> </v>
      </c>
    </row>
    <row r="20" spans="1:20" ht="12.75" customHeight="1">
      <c r="A20" s="82"/>
      <c r="B20" s="82"/>
      <c r="C20" s="77"/>
      <c r="D20" s="49" t="str">
        <f t="shared" si="5"/>
        <v> </v>
      </c>
      <c r="P20" t="str">
        <f t="shared" si="0"/>
        <v> </v>
      </c>
      <c r="Q20" t="str">
        <f t="shared" si="1"/>
        <v> </v>
      </c>
      <c r="R20" t="str">
        <f t="shared" si="2"/>
        <v> </v>
      </c>
      <c r="S20" t="str">
        <f t="shared" si="3"/>
        <v> </v>
      </c>
      <c r="T20" t="str">
        <f t="shared" si="4"/>
        <v> </v>
      </c>
    </row>
    <row r="21" spans="1:20" ht="12.75">
      <c r="A21" s="82"/>
      <c r="B21" s="82"/>
      <c r="C21" s="77"/>
      <c r="D21"/>
      <c r="E21" s="88" t="s">
        <v>76</v>
      </c>
      <c r="F21" s="89" t="s">
        <v>77</v>
      </c>
      <c r="H21" s="90">
        <f>CORREL(P4:P103,Q4:Q103)</f>
        <v>0.9075293679065098</v>
      </c>
      <c r="I21" s="91" t="s">
        <v>69</v>
      </c>
      <c r="J21" s="92">
        <f>CORREL(P4:P103,R4:R103)</f>
        <v>0.8853489207567</v>
      </c>
      <c r="M21" s="88" t="s">
        <v>76</v>
      </c>
      <c r="N21" s="89" t="s">
        <v>77</v>
      </c>
      <c r="P21" t="str">
        <f t="shared" si="0"/>
        <v> </v>
      </c>
      <c r="Q21" t="str">
        <f t="shared" si="1"/>
        <v> </v>
      </c>
      <c r="R21" t="str">
        <f t="shared" si="2"/>
        <v> </v>
      </c>
      <c r="S21" t="str">
        <f t="shared" si="3"/>
        <v> </v>
      </c>
      <c r="T21" t="str">
        <f t="shared" si="4"/>
        <v> </v>
      </c>
    </row>
    <row r="22" spans="1:20" ht="12.75" customHeight="1">
      <c r="A22" s="82"/>
      <c r="B22" s="82"/>
      <c r="C22" s="77"/>
      <c r="D22" s="93" t="s">
        <v>78</v>
      </c>
      <c r="E22" s="94">
        <f>MIN(B4:B103)</f>
        <v>1.2</v>
      </c>
      <c r="F22" s="95">
        <v>0</v>
      </c>
      <c r="L22" s="93" t="s">
        <v>78</v>
      </c>
      <c r="M22" s="94">
        <f>MIN(B4:B203)</f>
        <v>1.2</v>
      </c>
      <c r="N22" s="95">
        <v>0</v>
      </c>
      <c r="P22" t="str">
        <f t="shared" si="0"/>
        <v> </v>
      </c>
      <c r="Q22" t="str">
        <f t="shared" si="1"/>
        <v> </v>
      </c>
      <c r="R22" t="str">
        <f t="shared" si="2"/>
        <v> </v>
      </c>
      <c r="S22" t="str">
        <f t="shared" si="3"/>
        <v> </v>
      </c>
      <c r="T22" t="str">
        <f t="shared" si="4"/>
        <v> </v>
      </c>
    </row>
    <row r="23" spans="1:20" ht="12.75">
      <c r="A23" s="82"/>
      <c r="B23" s="82"/>
      <c r="C23" s="77"/>
      <c r="D23" s="93" t="s">
        <v>79</v>
      </c>
      <c r="E23" s="94">
        <f>MAX(B4:B103)</f>
        <v>14.4</v>
      </c>
      <c r="F23" s="95">
        <v>20</v>
      </c>
      <c r="H23" s="206" t="s">
        <v>80</v>
      </c>
      <c r="I23" s="207"/>
      <c r="J23" s="207"/>
      <c r="L23" s="93" t="s">
        <v>79</v>
      </c>
      <c r="M23" s="94">
        <f>MAX(B4:B203)</f>
        <v>14.4</v>
      </c>
      <c r="N23" s="95">
        <v>15</v>
      </c>
      <c r="P23" t="str">
        <f t="shared" si="0"/>
        <v> </v>
      </c>
      <c r="Q23" t="str">
        <f t="shared" si="1"/>
        <v> </v>
      </c>
      <c r="R23" t="str">
        <f t="shared" si="2"/>
        <v> </v>
      </c>
      <c r="S23" t="str">
        <f t="shared" si="3"/>
        <v> </v>
      </c>
      <c r="T23" t="str">
        <f t="shared" si="4"/>
        <v> </v>
      </c>
    </row>
    <row r="24" spans="1:20" ht="12.75">
      <c r="A24" s="82"/>
      <c r="B24" s="82"/>
      <c r="C24" s="77"/>
      <c r="D24" s="93" t="s">
        <v>81</v>
      </c>
      <c r="E24" s="94">
        <f>MIN(Q4:Q103)</f>
        <v>1.86</v>
      </c>
      <c r="F24" s="95">
        <v>0</v>
      </c>
      <c r="H24" s="207"/>
      <c r="I24" s="207"/>
      <c r="J24" s="207"/>
      <c r="L24" s="93" t="s">
        <v>81</v>
      </c>
      <c r="M24" s="94">
        <f>MIN(R4:R203)</f>
        <v>3.4596000000000005</v>
      </c>
      <c r="N24" s="95">
        <v>0</v>
      </c>
      <c r="P24" t="str">
        <f t="shared" si="0"/>
        <v> </v>
      </c>
      <c r="Q24" t="str">
        <f t="shared" si="1"/>
        <v> </v>
      </c>
      <c r="R24" t="str">
        <f t="shared" si="2"/>
        <v> </v>
      </c>
      <c r="S24" t="str">
        <f t="shared" si="3"/>
        <v> </v>
      </c>
      <c r="T24" t="str">
        <f t="shared" si="4"/>
        <v> </v>
      </c>
    </row>
    <row r="25" spans="1:20" ht="12.75" customHeight="1" thickBot="1">
      <c r="A25" s="82"/>
      <c r="B25" s="82"/>
      <c r="C25" s="77"/>
      <c r="D25" s="93" t="s">
        <v>82</v>
      </c>
      <c r="E25" s="94">
        <f>MAX(Q4:Q103)</f>
        <v>10.97</v>
      </c>
      <c r="F25" s="95">
        <v>12</v>
      </c>
      <c r="I25" s="96" t="s">
        <v>83</v>
      </c>
      <c r="J25" s="96" t="s">
        <v>84</v>
      </c>
      <c r="L25" s="93" t="s">
        <v>82</v>
      </c>
      <c r="M25" s="94">
        <f>MAX(R4:R203)</f>
        <v>120.34090000000002</v>
      </c>
      <c r="N25" s="95">
        <v>125</v>
      </c>
      <c r="P25" t="str">
        <f t="shared" si="0"/>
        <v> </v>
      </c>
      <c r="Q25" t="str">
        <f t="shared" si="1"/>
        <v> </v>
      </c>
      <c r="R25" t="str">
        <f t="shared" si="2"/>
        <v> </v>
      </c>
      <c r="S25" t="str">
        <f t="shared" si="3"/>
        <v> </v>
      </c>
      <c r="T25" t="str">
        <f t="shared" si="4"/>
        <v> </v>
      </c>
    </row>
    <row r="26" spans="1:20" ht="12.75" customHeight="1" thickBot="1">
      <c r="A26" s="82"/>
      <c r="B26" s="82"/>
      <c r="C26" s="77"/>
      <c r="D26"/>
      <c r="H26" s="65" t="s">
        <v>85</v>
      </c>
      <c r="I26" s="97">
        <f>AVERAGE(S4:S103)</f>
        <v>1.0901632956013547</v>
      </c>
      <c r="J26" s="97">
        <f>AVERAGE(T4:T103)</f>
        <v>7.080317788206885</v>
      </c>
      <c r="P26" t="str">
        <f t="shared" si="0"/>
        <v> </v>
      </c>
      <c r="Q26" t="str">
        <f t="shared" si="1"/>
        <v> </v>
      </c>
      <c r="R26" t="str">
        <f t="shared" si="2"/>
        <v> </v>
      </c>
      <c r="S26" t="str">
        <f t="shared" si="3"/>
        <v> </v>
      </c>
      <c r="T26" t="str">
        <f t="shared" si="4"/>
        <v> </v>
      </c>
    </row>
    <row r="27" spans="1:20" ht="12.75" customHeight="1" thickBot="1">
      <c r="A27" s="82"/>
      <c r="B27" s="82"/>
      <c r="C27" s="77"/>
      <c r="D27"/>
      <c r="H27" s="65" t="s">
        <v>83</v>
      </c>
      <c r="I27" s="97">
        <f>STDEV(S4:S103)</f>
        <v>0.274201166478788</v>
      </c>
      <c r="J27" s="97">
        <f>STDEV(T4:T103)</f>
        <v>3.5271864430335684</v>
      </c>
      <c r="P27" t="str">
        <f t="shared" si="0"/>
        <v> </v>
      </c>
      <c r="Q27" t="str">
        <f t="shared" si="1"/>
        <v> </v>
      </c>
      <c r="R27" t="str">
        <f t="shared" si="2"/>
        <v> </v>
      </c>
      <c r="S27" t="str">
        <f t="shared" si="3"/>
        <v> </v>
      </c>
      <c r="T27" t="str">
        <f t="shared" si="4"/>
        <v> </v>
      </c>
    </row>
    <row r="28" spans="1:20" ht="13.5" thickBot="1">
      <c r="A28" s="82"/>
      <c r="B28" s="82"/>
      <c r="C28" s="77"/>
      <c r="D28"/>
      <c r="H28" s="98" t="s">
        <v>86</v>
      </c>
      <c r="I28" s="99">
        <f>I27/I26</f>
        <v>0.2515230219042859</v>
      </c>
      <c r="J28" s="99">
        <f>J27/J26</f>
        <v>0.4981678151379757</v>
      </c>
      <c r="P28" t="str">
        <f t="shared" si="0"/>
        <v> </v>
      </c>
      <c r="Q28" t="str">
        <f t="shared" si="1"/>
        <v> </v>
      </c>
      <c r="R28" t="str">
        <f t="shared" si="2"/>
        <v> </v>
      </c>
      <c r="S28" t="str">
        <f t="shared" si="3"/>
        <v> </v>
      </c>
      <c r="T28" t="str">
        <f t="shared" si="4"/>
        <v> </v>
      </c>
    </row>
    <row r="29" spans="1:20" ht="12.75">
      <c r="A29" s="82"/>
      <c r="B29" s="82"/>
      <c r="C29" s="77"/>
      <c r="D29" s="49" t="str">
        <f aca="true" t="shared" si="6" ref="D29:D60">IF(ROW(D29)-($J$10+2)&gt;0," ",(A29-($F$5+$F$6*B29))^2)</f>
        <v> </v>
      </c>
      <c r="E29" s="1"/>
      <c r="F29" s="1"/>
      <c r="G29" s="1"/>
      <c r="P29" t="str">
        <f t="shared" si="0"/>
        <v> </v>
      </c>
      <c r="Q29" t="str">
        <f t="shared" si="1"/>
        <v> </v>
      </c>
      <c r="R29" t="str">
        <f t="shared" si="2"/>
        <v> </v>
      </c>
      <c r="S29" t="str">
        <f t="shared" si="3"/>
        <v> </v>
      </c>
      <c r="T29" t="str">
        <f t="shared" si="4"/>
        <v> </v>
      </c>
    </row>
    <row r="30" spans="1:20" ht="12.75">
      <c r="A30" s="82"/>
      <c r="B30" s="82"/>
      <c r="C30" s="77"/>
      <c r="D30" s="49" t="str">
        <f t="shared" si="6"/>
        <v> </v>
      </c>
      <c r="P30" t="str">
        <f t="shared" si="0"/>
        <v> </v>
      </c>
      <c r="Q30" t="str">
        <f t="shared" si="1"/>
        <v> </v>
      </c>
      <c r="R30" t="str">
        <f t="shared" si="2"/>
        <v> </v>
      </c>
      <c r="S30" t="str">
        <f t="shared" si="3"/>
        <v> </v>
      </c>
      <c r="T30" t="str">
        <f t="shared" si="4"/>
        <v> </v>
      </c>
    </row>
    <row r="31" spans="1:20" ht="12.75">
      <c r="A31" s="82"/>
      <c r="B31" s="82"/>
      <c r="C31" s="77"/>
      <c r="D31" s="49" t="str">
        <f t="shared" si="6"/>
        <v> </v>
      </c>
      <c r="P31" t="str">
        <f t="shared" si="0"/>
        <v> </v>
      </c>
      <c r="Q31" t="str">
        <f t="shared" si="1"/>
        <v> </v>
      </c>
      <c r="R31" t="str">
        <f t="shared" si="2"/>
        <v> </v>
      </c>
      <c r="S31" t="str">
        <f t="shared" si="3"/>
        <v> </v>
      </c>
      <c r="T31" t="str">
        <f t="shared" si="4"/>
        <v> </v>
      </c>
    </row>
    <row r="32" spans="1:20" ht="12.75">
      <c r="A32" s="82"/>
      <c r="B32" s="82"/>
      <c r="C32" s="77"/>
      <c r="D32" s="49" t="str">
        <f t="shared" si="6"/>
        <v> </v>
      </c>
      <c r="P32" t="str">
        <f t="shared" si="0"/>
        <v> </v>
      </c>
      <c r="Q32" t="str">
        <f t="shared" si="1"/>
        <v> </v>
      </c>
      <c r="R32" t="str">
        <f t="shared" si="2"/>
        <v> </v>
      </c>
      <c r="S32" t="str">
        <f t="shared" si="3"/>
        <v> </v>
      </c>
      <c r="T32" t="str">
        <f t="shared" si="4"/>
        <v> </v>
      </c>
    </row>
    <row r="33" spans="1:20" ht="12.75">
      <c r="A33" s="82"/>
      <c r="B33" s="82"/>
      <c r="C33" s="77"/>
      <c r="D33" s="49" t="str">
        <f t="shared" si="6"/>
        <v> </v>
      </c>
      <c r="P33" t="str">
        <f t="shared" si="0"/>
        <v> </v>
      </c>
      <c r="Q33" t="str">
        <f t="shared" si="1"/>
        <v> </v>
      </c>
      <c r="R33" t="str">
        <f t="shared" si="2"/>
        <v> </v>
      </c>
      <c r="S33" t="str">
        <f t="shared" si="3"/>
        <v> </v>
      </c>
      <c r="T33" t="str">
        <f t="shared" si="4"/>
        <v> </v>
      </c>
    </row>
    <row r="34" spans="1:20" ht="12.75">
      <c r="A34" s="82"/>
      <c r="B34" s="82"/>
      <c r="C34" s="77"/>
      <c r="D34" s="49" t="str">
        <f t="shared" si="6"/>
        <v> </v>
      </c>
      <c r="P34" t="str">
        <f t="shared" si="0"/>
        <v> </v>
      </c>
      <c r="Q34" t="str">
        <f t="shared" si="1"/>
        <v> </v>
      </c>
      <c r="R34" t="str">
        <f t="shared" si="2"/>
        <v> </v>
      </c>
      <c r="S34" t="str">
        <f t="shared" si="3"/>
        <v> </v>
      </c>
      <c r="T34" t="str">
        <f t="shared" si="4"/>
        <v> </v>
      </c>
    </row>
    <row r="35" spans="1:20" ht="12.75">
      <c r="A35" s="82"/>
      <c r="B35" s="82"/>
      <c r="C35" s="77"/>
      <c r="D35" s="49" t="str">
        <f t="shared" si="6"/>
        <v> </v>
      </c>
      <c r="P35" t="str">
        <f t="shared" si="0"/>
        <v> </v>
      </c>
      <c r="Q35" t="str">
        <f t="shared" si="1"/>
        <v> </v>
      </c>
      <c r="R35" t="str">
        <f t="shared" si="2"/>
        <v> </v>
      </c>
      <c r="S35" t="str">
        <f t="shared" si="3"/>
        <v> </v>
      </c>
      <c r="T35" t="str">
        <f t="shared" si="4"/>
        <v> </v>
      </c>
    </row>
    <row r="36" spans="1:20" ht="12.75">
      <c r="A36" s="82"/>
      <c r="B36" s="82"/>
      <c r="C36" s="77"/>
      <c r="D36" s="49" t="str">
        <f t="shared" si="6"/>
        <v> </v>
      </c>
      <c r="P36" t="str">
        <f aca="true" t="shared" si="7" ref="P36:P67">IF(B36&gt;0,B36," ")</f>
        <v> </v>
      </c>
      <c r="Q36" t="str">
        <f aca="true" t="shared" si="8" ref="Q36:Q67">IF(B36&gt;0,IF(F$3=TRUE,A36,SQRT(A36))," ")</f>
        <v> </v>
      </c>
      <c r="R36" t="str">
        <f aca="true" t="shared" si="9" ref="R36:R67">IF(B36&gt;0,IF(F$3=TRUE,A36^2,A36)," ")</f>
        <v> </v>
      </c>
      <c r="S36" t="str">
        <f aca="true" t="shared" si="10" ref="S36:S67">IF(B36&gt;0,Q36/P36," ")</f>
        <v> </v>
      </c>
      <c r="T36" t="str">
        <f aca="true" t="shared" si="11" ref="T36:T67">IF(B36&gt;0,R36/P36," ")</f>
        <v> </v>
      </c>
    </row>
    <row r="37" spans="1:20" ht="12.75">
      <c r="A37" s="82"/>
      <c r="B37" s="82"/>
      <c r="C37" s="77"/>
      <c r="D37" s="49" t="str">
        <f t="shared" si="6"/>
        <v> </v>
      </c>
      <c r="P37" t="str">
        <f t="shared" si="7"/>
        <v> </v>
      </c>
      <c r="Q37" t="str">
        <f t="shared" si="8"/>
        <v> </v>
      </c>
      <c r="R37" t="str">
        <f t="shared" si="9"/>
        <v> </v>
      </c>
      <c r="S37" t="str">
        <f t="shared" si="10"/>
        <v> </v>
      </c>
      <c r="T37" t="str">
        <f t="shared" si="11"/>
        <v> </v>
      </c>
    </row>
    <row r="38" spans="1:20" ht="12.75">
      <c r="A38" s="82"/>
      <c r="B38" s="82"/>
      <c r="C38" s="77"/>
      <c r="D38" s="49" t="str">
        <f t="shared" si="6"/>
        <v> </v>
      </c>
      <c r="P38" t="str">
        <f t="shared" si="7"/>
        <v> </v>
      </c>
      <c r="Q38" t="str">
        <f t="shared" si="8"/>
        <v> </v>
      </c>
      <c r="R38" t="str">
        <f t="shared" si="9"/>
        <v> </v>
      </c>
      <c r="S38" t="str">
        <f t="shared" si="10"/>
        <v> </v>
      </c>
      <c r="T38" t="str">
        <f t="shared" si="11"/>
        <v> </v>
      </c>
    </row>
    <row r="39" spans="1:20" ht="12.75">
      <c r="A39" s="82"/>
      <c r="B39" s="82"/>
      <c r="C39" s="77"/>
      <c r="D39" s="49" t="str">
        <f t="shared" si="6"/>
        <v> </v>
      </c>
      <c r="P39" t="str">
        <f t="shared" si="7"/>
        <v> </v>
      </c>
      <c r="Q39" t="str">
        <f t="shared" si="8"/>
        <v> </v>
      </c>
      <c r="R39" t="str">
        <f t="shared" si="9"/>
        <v> </v>
      </c>
      <c r="S39" t="str">
        <f t="shared" si="10"/>
        <v> </v>
      </c>
      <c r="T39" t="str">
        <f t="shared" si="11"/>
        <v> </v>
      </c>
    </row>
    <row r="40" spans="1:20" ht="12.75">
      <c r="A40" s="82"/>
      <c r="B40" s="82"/>
      <c r="C40" s="77"/>
      <c r="D40" s="49" t="str">
        <f t="shared" si="6"/>
        <v> </v>
      </c>
      <c r="P40" t="str">
        <f t="shared" si="7"/>
        <v> </v>
      </c>
      <c r="Q40" t="str">
        <f t="shared" si="8"/>
        <v> </v>
      </c>
      <c r="R40" t="str">
        <f t="shared" si="9"/>
        <v> </v>
      </c>
      <c r="S40" t="str">
        <f t="shared" si="10"/>
        <v> </v>
      </c>
      <c r="T40" t="str">
        <f t="shared" si="11"/>
        <v> </v>
      </c>
    </row>
    <row r="41" spans="1:20" ht="12.75">
      <c r="A41" s="82"/>
      <c r="B41" s="82"/>
      <c r="C41" s="77"/>
      <c r="D41" s="49" t="str">
        <f t="shared" si="6"/>
        <v> </v>
      </c>
      <c r="P41" t="str">
        <f t="shared" si="7"/>
        <v> </v>
      </c>
      <c r="Q41" t="str">
        <f t="shared" si="8"/>
        <v> </v>
      </c>
      <c r="R41" t="str">
        <f t="shared" si="9"/>
        <v> </v>
      </c>
      <c r="S41" t="str">
        <f t="shared" si="10"/>
        <v> </v>
      </c>
      <c r="T41" t="str">
        <f t="shared" si="11"/>
        <v> </v>
      </c>
    </row>
    <row r="42" spans="1:20" ht="12.75">
      <c r="A42" s="82"/>
      <c r="B42" s="82"/>
      <c r="C42" s="77"/>
      <c r="D42" s="49" t="str">
        <f t="shared" si="6"/>
        <v> </v>
      </c>
      <c r="P42" t="str">
        <f t="shared" si="7"/>
        <v> </v>
      </c>
      <c r="Q42" t="str">
        <f t="shared" si="8"/>
        <v> </v>
      </c>
      <c r="R42" t="str">
        <f t="shared" si="9"/>
        <v> </v>
      </c>
      <c r="S42" t="str">
        <f t="shared" si="10"/>
        <v> </v>
      </c>
      <c r="T42" t="str">
        <f t="shared" si="11"/>
        <v> </v>
      </c>
    </row>
    <row r="43" spans="1:20" ht="12.75">
      <c r="A43" s="82"/>
      <c r="B43" s="82"/>
      <c r="C43" s="77"/>
      <c r="D43" s="49" t="str">
        <f t="shared" si="6"/>
        <v> </v>
      </c>
      <c r="P43" t="str">
        <f t="shared" si="7"/>
        <v> </v>
      </c>
      <c r="Q43" t="str">
        <f t="shared" si="8"/>
        <v> </v>
      </c>
      <c r="R43" t="str">
        <f t="shared" si="9"/>
        <v> </v>
      </c>
      <c r="S43" t="str">
        <f t="shared" si="10"/>
        <v> </v>
      </c>
      <c r="T43" t="str">
        <f t="shared" si="11"/>
        <v> </v>
      </c>
    </row>
    <row r="44" spans="1:20" ht="12.75">
      <c r="A44" s="82"/>
      <c r="B44" s="82"/>
      <c r="C44" s="77"/>
      <c r="D44" s="49" t="str">
        <f t="shared" si="6"/>
        <v> </v>
      </c>
      <c r="P44" t="str">
        <f t="shared" si="7"/>
        <v> </v>
      </c>
      <c r="Q44" t="str">
        <f t="shared" si="8"/>
        <v> </v>
      </c>
      <c r="R44" t="str">
        <f t="shared" si="9"/>
        <v> </v>
      </c>
      <c r="S44" t="str">
        <f t="shared" si="10"/>
        <v> </v>
      </c>
      <c r="T44" t="str">
        <f t="shared" si="11"/>
        <v> </v>
      </c>
    </row>
    <row r="45" spans="1:20" ht="12.75">
      <c r="A45" s="82"/>
      <c r="B45" s="82"/>
      <c r="C45" s="77"/>
      <c r="D45" s="49" t="str">
        <f t="shared" si="6"/>
        <v> </v>
      </c>
      <c r="P45" t="str">
        <f t="shared" si="7"/>
        <v> </v>
      </c>
      <c r="Q45" t="str">
        <f t="shared" si="8"/>
        <v> </v>
      </c>
      <c r="R45" t="str">
        <f t="shared" si="9"/>
        <v> </v>
      </c>
      <c r="S45" t="str">
        <f t="shared" si="10"/>
        <v> </v>
      </c>
      <c r="T45" t="str">
        <f t="shared" si="11"/>
        <v> </v>
      </c>
    </row>
    <row r="46" spans="1:20" ht="12.75">
      <c r="A46" s="82"/>
      <c r="B46" s="82"/>
      <c r="C46" s="77"/>
      <c r="D46" s="49" t="str">
        <f t="shared" si="6"/>
        <v> </v>
      </c>
      <c r="P46" t="str">
        <f t="shared" si="7"/>
        <v> </v>
      </c>
      <c r="Q46" t="str">
        <f t="shared" si="8"/>
        <v> </v>
      </c>
      <c r="R46" t="str">
        <f t="shared" si="9"/>
        <v> </v>
      </c>
      <c r="S46" t="str">
        <f t="shared" si="10"/>
        <v> </v>
      </c>
      <c r="T46" t="str">
        <f t="shared" si="11"/>
        <v> </v>
      </c>
    </row>
    <row r="47" spans="1:20" ht="12.75">
      <c r="A47" s="82"/>
      <c r="B47" s="82"/>
      <c r="C47" s="77"/>
      <c r="D47" s="49" t="str">
        <f t="shared" si="6"/>
        <v> </v>
      </c>
      <c r="P47" t="str">
        <f t="shared" si="7"/>
        <v> </v>
      </c>
      <c r="Q47" t="str">
        <f t="shared" si="8"/>
        <v> </v>
      </c>
      <c r="R47" t="str">
        <f t="shared" si="9"/>
        <v> </v>
      </c>
      <c r="S47" t="str">
        <f t="shared" si="10"/>
        <v> </v>
      </c>
      <c r="T47" t="str">
        <f t="shared" si="11"/>
        <v> </v>
      </c>
    </row>
    <row r="48" spans="1:20" ht="12.75">
      <c r="A48" s="82"/>
      <c r="B48" s="82"/>
      <c r="C48" s="77"/>
      <c r="D48" s="49" t="str">
        <f t="shared" si="6"/>
        <v> </v>
      </c>
      <c r="P48" t="str">
        <f t="shared" si="7"/>
        <v> </v>
      </c>
      <c r="Q48" t="str">
        <f t="shared" si="8"/>
        <v> </v>
      </c>
      <c r="R48" t="str">
        <f t="shared" si="9"/>
        <v> </v>
      </c>
      <c r="S48" t="str">
        <f t="shared" si="10"/>
        <v> </v>
      </c>
      <c r="T48" t="str">
        <f t="shared" si="11"/>
        <v> </v>
      </c>
    </row>
    <row r="49" spans="1:20" ht="12.75">
      <c r="A49" s="82"/>
      <c r="B49" s="82"/>
      <c r="C49" s="77"/>
      <c r="D49" s="49" t="str">
        <f t="shared" si="6"/>
        <v> </v>
      </c>
      <c r="P49" t="str">
        <f t="shared" si="7"/>
        <v> </v>
      </c>
      <c r="Q49" t="str">
        <f t="shared" si="8"/>
        <v> </v>
      </c>
      <c r="R49" t="str">
        <f t="shared" si="9"/>
        <v> </v>
      </c>
      <c r="S49" t="str">
        <f t="shared" si="10"/>
        <v> </v>
      </c>
      <c r="T49" t="str">
        <f t="shared" si="11"/>
        <v> </v>
      </c>
    </row>
    <row r="50" spans="1:20" ht="12.75">
      <c r="A50" s="82"/>
      <c r="B50" s="82"/>
      <c r="C50" s="77"/>
      <c r="D50" s="49" t="str">
        <f t="shared" si="6"/>
        <v> </v>
      </c>
      <c r="P50" t="str">
        <f t="shared" si="7"/>
        <v> </v>
      </c>
      <c r="Q50" t="str">
        <f t="shared" si="8"/>
        <v> </v>
      </c>
      <c r="R50" t="str">
        <f t="shared" si="9"/>
        <v> </v>
      </c>
      <c r="S50" t="str">
        <f t="shared" si="10"/>
        <v> </v>
      </c>
      <c r="T50" t="str">
        <f t="shared" si="11"/>
        <v> </v>
      </c>
    </row>
    <row r="51" spans="1:20" ht="12.75">
      <c r="A51" s="82"/>
      <c r="B51" s="82"/>
      <c r="C51" s="77"/>
      <c r="D51" s="49" t="str">
        <f t="shared" si="6"/>
        <v> </v>
      </c>
      <c r="P51" t="str">
        <f t="shared" si="7"/>
        <v> </v>
      </c>
      <c r="Q51" t="str">
        <f t="shared" si="8"/>
        <v> </v>
      </c>
      <c r="R51" t="str">
        <f t="shared" si="9"/>
        <v> </v>
      </c>
      <c r="S51" t="str">
        <f t="shared" si="10"/>
        <v> </v>
      </c>
      <c r="T51" t="str">
        <f t="shared" si="11"/>
        <v> </v>
      </c>
    </row>
    <row r="52" spans="1:20" ht="12.75">
      <c r="A52" s="82"/>
      <c r="B52" s="82"/>
      <c r="C52" s="77"/>
      <c r="D52" s="49" t="str">
        <f t="shared" si="6"/>
        <v> </v>
      </c>
      <c r="P52" t="str">
        <f t="shared" si="7"/>
        <v> </v>
      </c>
      <c r="Q52" t="str">
        <f t="shared" si="8"/>
        <v> </v>
      </c>
      <c r="R52" t="str">
        <f t="shared" si="9"/>
        <v> </v>
      </c>
      <c r="S52" t="str">
        <f t="shared" si="10"/>
        <v> </v>
      </c>
      <c r="T52" t="str">
        <f t="shared" si="11"/>
        <v> </v>
      </c>
    </row>
    <row r="53" spans="1:20" ht="12.75">
      <c r="A53" s="82"/>
      <c r="B53" s="82"/>
      <c r="C53" s="77"/>
      <c r="D53" s="49" t="str">
        <f t="shared" si="6"/>
        <v> </v>
      </c>
      <c r="P53" t="str">
        <f t="shared" si="7"/>
        <v> </v>
      </c>
      <c r="Q53" t="str">
        <f t="shared" si="8"/>
        <v> </v>
      </c>
      <c r="R53" t="str">
        <f t="shared" si="9"/>
        <v> </v>
      </c>
      <c r="S53" t="str">
        <f t="shared" si="10"/>
        <v> </v>
      </c>
      <c r="T53" t="str">
        <f t="shared" si="11"/>
        <v> </v>
      </c>
    </row>
    <row r="54" spans="1:20" ht="12.75">
      <c r="A54" s="82"/>
      <c r="B54" s="82"/>
      <c r="C54" s="77"/>
      <c r="D54" s="49" t="str">
        <f t="shared" si="6"/>
        <v> </v>
      </c>
      <c r="P54" t="str">
        <f t="shared" si="7"/>
        <v> </v>
      </c>
      <c r="Q54" t="str">
        <f t="shared" si="8"/>
        <v> </v>
      </c>
      <c r="R54" t="str">
        <f t="shared" si="9"/>
        <v> </v>
      </c>
      <c r="S54" t="str">
        <f t="shared" si="10"/>
        <v> </v>
      </c>
      <c r="T54" t="str">
        <f t="shared" si="11"/>
        <v> </v>
      </c>
    </row>
    <row r="55" spans="1:20" ht="12.75">
      <c r="A55" s="82"/>
      <c r="B55" s="82"/>
      <c r="C55" s="77"/>
      <c r="D55" s="49" t="str">
        <f t="shared" si="6"/>
        <v> </v>
      </c>
      <c r="P55" t="str">
        <f t="shared" si="7"/>
        <v> </v>
      </c>
      <c r="Q55" t="str">
        <f t="shared" si="8"/>
        <v> </v>
      </c>
      <c r="R55" t="str">
        <f t="shared" si="9"/>
        <v> </v>
      </c>
      <c r="S55" t="str">
        <f t="shared" si="10"/>
        <v> </v>
      </c>
      <c r="T55" t="str">
        <f t="shared" si="11"/>
        <v> </v>
      </c>
    </row>
    <row r="56" spans="1:20" ht="12.75">
      <c r="A56" s="82"/>
      <c r="B56" s="82"/>
      <c r="C56" s="77"/>
      <c r="D56" s="49" t="str">
        <f t="shared" si="6"/>
        <v> </v>
      </c>
      <c r="P56" t="str">
        <f t="shared" si="7"/>
        <v> </v>
      </c>
      <c r="Q56" t="str">
        <f t="shared" si="8"/>
        <v> </v>
      </c>
      <c r="R56" t="str">
        <f t="shared" si="9"/>
        <v> </v>
      </c>
      <c r="S56" t="str">
        <f t="shared" si="10"/>
        <v> </v>
      </c>
      <c r="T56" t="str">
        <f t="shared" si="11"/>
        <v> </v>
      </c>
    </row>
    <row r="57" spans="1:20" ht="12.75">
      <c r="A57" s="82"/>
      <c r="B57" s="82"/>
      <c r="C57" s="77"/>
      <c r="D57" s="49" t="str">
        <f t="shared" si="6"/>
        <v> </v>
      </c>
      <c r="P57" t="str">
        <f t="shared" si="7"/>
        <v> </v>
      </c>
      <c r="Q57" t="str">
        <f t="shared" si="8"/>
        <v> </v>
      </c>
      <c r="R57" t="str">
        <f t="shared" si="9"/>
        <v> </v>
      </c>
      <c r="S57" t="str">
        <f t="shared" si="10"/>
        <v> </v>
      </c>
      <c r="T57" t="str">
        <f t="shared" si="11"/>
        <v> </v>
      </c>
    </row>
    <row r="58" spans="1:20" ht="12.75">
      <c r="A58" s="82"/>
      <c r="B58" s="82"/>
      <c r="C58" s="77"/>
      <c r="D58" s="49" t="str">
        <f t="shared" si="6"/>
        <v> </v>
      </c>
      <c r="P58" t="str">
        <f t="shared" si="7"/>
        <v> </v>
      </c>
      <c r="Q58" t="str">
        <f t="shared" si="8"/>
        <v> </v>
      </c>
      <c r="R58" t="str">
        <f t="shared" si="9"/>
        <v> </v>
      </c>
      <c r="S58" t="str">
        <f t="shared" si="10"/>
        <v> </v>
      </c>
      <c r="T58" t="str">
        <f t="shared" si="11"/>
        <v> </v>
      </c>
    </row>
    <row r="59" spans="1:20" ht="12.75">
      <c r="A59" s="82"/>
      <c r="B59" s="82"/>
      <c r="C59" s="77"/>
      <c r="D59" s="49" t="str">
        <f t="shared" si="6"/>
        <v> </v>
      </c>
      <c r="P59" t="str">
        <f t="shared" si="7"/>
        <v> </v>
      </c>
      <c r="Q59" t="str">
        <f t="shared" si="8"/>
        <v> </v>
      </c>
      <c r="R59" t="str">
        <f t="shared" si="9"/>
        <v> </v>
      </c>
      <c r="S59" t="str">
        <f t="shared" si="10"/>
        <v> </v>
      </c>
      <c r="T59" t="str">
        <f t="shared" si="11"/>
        <v> </v>
      </c>
    </row>
    <row r="60" spans="1:20" ht="12.75">
      <c r="A60" s="82"/>
      <c r="B60" s="82"/>
      <c r="C60" s="77"/>
      <c r="D60" s="49" t="str">
        <f t="shared" si="6"/>
        <v> </v>
      </c>
      <c r="P60" t="str">
        <f t="shared" si="7"/>
        <v> </v>
      </c>
      <c r="Q60" t="str">
        <f t="shared" si="8"/>
        <v> </v>
      </c>
      <c r="R60" t="str">
        <f t="shared" si="9"/>
        <v> </v>
      </c>
      <c r="S60" t="str">
        <f t="shared" si="10"/>
        <v> </v>
      </c>
      <c r="T60" t="str">
        <f t="shared" si="11"/>
        <v> </v>
      </c>
    </row>
    <row r="61" spans="1:20" ht="12.75">
      <c r="A61" s="82"/>
      <c r="B61" s="82"/>
      <c r="C61" s="77"/>
      <c r="D61" s="49" t="str">
        <f aca="true" t="shared" si="12" ref="D61:D92">IF(ROW(D61)-($J$10+2)&gt;0," ",(A61-($F$5+$F$6*B61))^2)</f>
        <v> </v>
      </c>
      <c r="P61" t="str">
        <f t="shared" si="7"/>
        <v> </v>
      </c>
      <c r="Q61" t="str">
        <f t="shared" si="8"/>
        <v> </v>
      </c>
      <c r="R61" t="str">
        <f t="shared" si="9"/>
        <v> </v>
      </c>
      <c r="S61" t="str">
        <f t="shared" si="10"/>
        <v> </v>
      </c>
      <c r="T61" t="str">
        <f t="shared" si="11"/>
        <v> </v>
      </c>
    </row>
    <row r="62" spans="1:20" ht="12.75">
      <c r="A62" s="82"/>
      <c r="B62" s="82"/>
      <c r="C62" s="77"/>
      <c r="D62" s="49" t="str">
        <f t="shared" si="12"/>
        <v> </v>
      </c>
      <c r="P62" t="str">
        <f t="shared" si="7"/>
        <v> </v>
      </c>
      <c r="Q62" t="str">
        <f t="shared" si="8"/>
        <v> </v>
      </c>
      <c r="R62" t="str">
        <f t="shared" si="9"/>
        <v> </v>
      </c>
      <c r="S62" t="str">
        <f t="shared" si="10"/>
        <v> </v>
      </c>
      <c r="T62" t="str">
        <f t="shared" si="11"/>
        <v> </v>
      </c>
    </row>
    <row r="63" spans="1:20" ht="12.75">
      <c r="A63" s="82"/>
      <c r="B63" s="82"/>
      <c r="C63" s="77"/>
      <c r="D63" s="49" t="str">
        <f t="shared" si="12"/>
        <v> </v>
      </c>
      <c r="P63" t="str">
        <f t="shared" si="7"/>
        <v> </v>
      </c>
      <c r="Q63" t="str">
        <f t="shared" si="8"/>
        <v> </v>
      </c>
      <c r="R63" t="str">
        <f t="shared" si="9"/>
        <v> </v>
      </c>
      <c r="S63" t="str">
        <f t="shared" si="10"/>
        <v> </v>
      </c>
      <c r="T63" t="str">
        <f t="shared" si="11"/>
        <v> </v>
      </c>
    </row>
    <row r="64" spans="1:20" ht="12.75">
      <c r="A64" s="82"/>
      <c r="B64" s="82"/>
      <c r="C64" s="77"/>
      <c r="D64" s="49" t="str">
        <f t="shared" si="12"/>
        <v> </v>
      </c>
      <c r="P64" t="str">
        <f t="shared" si="7"/>
        <v> </v>
      </c>
      <c r="Q64" t="str">
        <f t="shared" si="8"/>
        <v> </v>
      </c>
      <c r="R64" t="str">
        <f t="shared" si="9"/>
        <v> </v>
      </c>
      <c r="S64" t="str">
        <f t="shared" si="10"/>
        <v> </v>
      </c>
      <c r="T64" t="str">
        <f t="shared" si="11"/>
        <v> </v>
      </c>
    </row>
    <row r="65" spans="1:20" ht="12.75">
      <c r="A65" s="82"/>
      <c r="B65" s="82"/>
      <c r="C65" s="77"/>
      <c r="D65" s="49" t="str">
        <f t="shared" si="12"/>
        <v> </v>
      </c>
      <c r="P65" t="str">
        <f t="shared" si="7"/>
        <v> </v>
      </c>
      <c r="Q65" t="str">
        <f t="shared" si="8"/>
        <v> </v>
      </c>
      <c r="R65" t="str">
        <f t="shared" si="9"/>
        <v> </v>
      </c>
      <c r="S65" t="str">
        <f t="shared" si="10"/>
        <v> </v>
      </c>
      <c r="T65" t="str">
        <f t="shared" si="11"/>
        <v> </v>
      </c>
    </row>
    <row r="66" spans="1:20" ht="12.75">
      <c r="A66" s="82"/>
      <c r="B66" s="82"/>
      <c r="C66" s="77"/>
      <c r="D66" s="49" t="str">
        <f t="shared" si="12"/>
        <v> </v>
      </c>
      <c r="P66" t="str">
        <f t="shared" si="7"/>
        <v> </v>
      </c>
      <c r="Q66" t="str">
        <f t="shared" si="8"/>
        <v> </v>
      </c>
      <c r="R66" t="str">
        <f t="shared" si="9"/>
        <v> </v>
      </c>
      <c r="S66" t="str">
        <f t="shared" si="10"/>
        <v> </v>
      </c>
      <c r="T66" t="str">
        <f t="shared" si="11"/>
        <v> </v>
      </c>
    </row>
    <row r="67" spans="1:20" ht="12.75">
      <c r="A67" s="82"/>
      <c r="B67" s="82"/>
      <c r="C67" s="77"/>
      <c r="D67" s="49" t="str">
        <f t="shared" si="12"/>
        <v> </v>
      </c>
      <c r="P67" t="str">
        <f t="shared" si="7"/>
        <v> </v>
      </c>
      <c r="Q67" t="str">
        <f t="shared" si="8"/>
        <v> </v>
      </c>
      <c r="R67" t="str">
        <f t="shared" si="9"/>
        <v> </v>
      </c>
      <c r="S67" t="str">
        <f t="shared" si="10"/>
        <v> </v>
      </c>
      <c r="T67" t="str">
        <f t="shared" si="11"/>
        <v> </v>
      </c>
    </row>
    <row r="68" spans="1:20" ht="12.75">
      <c r="A68" s="82"/>
      <c r="B68" s="82"/>
      <c r="C68" s="77"/>
      <c r="D68" s="49" t="str">
        <f t="shared" si="12"/>
        <v> </v>
      </c>
      <c r="P68" t="str">
        <f aca="true" t="shared" si="13" ref="P68:P103">IF(B68&gt;0,B68," ")</f>
        <v> </v>
      </c>
      <c r="Q68" t="str">
        <f aca="true" t="shared" si="14" ref="Q68:Q103">IF(B68&gt;0,IF(F$3=TRUE,A68,SQRT(A68))," ")</f>
        <v> </v>
      </c>
      <c r="R68" t="str">
        <f aca="true" t="shared" si="15" ref="R68:R103">IF(B68&gt;0,IF(F$3=TRUE,A68^2,A68)," ")</f>
        <v> </v>
      </c>
      <c r="S68" t="str">
        <f aca="true" t="shared" si="16" ref="S68:S103">IF(B68&gt;0,Q68/P68," ")</f>
        <v> </v>
      </c>
      <c r="T68" t="str">
        <f aca="true" t="shared" si="17" ref="T68:T103">IF(B68&gt;0,R68/P68," ")</f>
        <v> </v>
      </c>
    </row>
    <row r="69" spans="1:20" ht="12.75">
      <c r="A69" s="82"/>
      <c r="B69" s="82"/>
      <c r="C69" s="77"/>
      <c r="D69" s="49" t="str">
        <f t="shared" si="12"/>
        <v> </v>
      </c>
      <c r="P69" t="str">
        <f t="shared" si="13"/>
        <v> </v>
      </c>
      <c r="Q69" t="str">
        <f t="shared" si="14"/>
        <v> </v>
      </c>
      <c r="R69" t="str">
        <f t="shared" si="15"/>
        <v> </v>
      </c>
      <c r="S69" t="str">
        <f t="shared" si="16"/>
        <v> </v>
      </c>
      <c r="T69" t="str">
        <f t="shared" si="17"/>
        <v> </v>
      </c>
    </row>
    <row r="70" spans="1:20" ht="12.75">
      <c r="A70" s="82"/>
      <c r="B70" s="82"/>
      <c r="C70" s="77"/>
      <c r="D70" s="49" t="str">
        <f t="shared" si="12"/>
        <v> </v>
      </c>
      <c r="P70" t="str">
        <f t="shared" si="13"/>
        <v> </v>
      </c>
      <c r="Q70" t="str">
        <f t="shared" si="14"/>
        <v> </v>
      </c>
      <c r="R70" t="str">
        <f t="shared" si="15"/>
        <v> </v>
      </c>
      <c r="S70" t="str">
        <f t="shared" si="16"/>
        <v> </v>
      </c>
      <c r="T70" t="str">
        <f t="shared" si="17"/>
        <v> </v>
      </c>
    </row>
    <row r="71" spans="1:20" ht="12.75">
      <c r="A71" s="82"/>
      <c r="B71" s="82"/>
      <c r="C71" s="77"/>
      <c r="D71" s="49" t="str">
        <f t="shared" si="12"/>
        <v> </v>
      </c>
      <c r="P71" t="str">
        <f t="shared" si="13"/>
        <v> </v>
      </c>
      <c r="Q71" t="str">
        <f t="shared" si="14"/>
        <v> </v>
      </c>
      <c r="R71" t="str">
        <f t="shared" si="15"/>
        <v> </v>
      </c>
      <c r="S71" t="str">
        <f t="shared" si="16"/>
        <v> </v>
      </c>
      <c r="T71" t="str">
        <f t="shared" si="17"/>
        <v> </v>
      </c>
    </row>
    <row r="72" spans="1:20" ht="12.75">
      <c r="A72" s="82"/>
      <c r="B72" s="82"/>
      <c r="C72" s="77"/>
      <c r="D72" s="49" t="str">
        <f t="shared" si="12"/>
        <v> </v>
      </c>
      <c r="P72" t="str">
        <f t="shared" si="13"/>
        <v> </v>
      </c>
      <c r="Q72" t="str">
        <f t="shared" si="14"/>
        <v> </v>
      </c>
      <c r="R72" t="str">
        <f t="shared" si="15"/>
        <v> </v>
      </c>
      <c r="S72" t="str">
        <f t="shared" si="16"/>
        <v> </v>
      </c>
      <c r="T72" t="str">
        <f t="shared" si="17"/>
        <v> </v>
      </c>
    </row>
    <row r="73" spans="1:20" ht="12.75">
      <c r="A73" s="82"/>
      <c r="B73" s="82"/>
      <c r="C73" s="77"/>
      <c r="D73" s="49" t="str">
        <f t="shared" si="12"/>
        <v> </v>
      </c>
      <c r="P73" t="str">
        <f t="shared" si="13"/>
        <v> </v>
      </c>
      <c r="Q73" t="str">
        <f t="shared" si="14"/>
        <v> </v>
      </c>
      <c r="R73" t="str">
        <f t="shared" si="15"/>
        <v> </v>
      </c>
      <c r="S73" t="str">
        <f t="shared" si="16"/>
        <v> </v>
      </c>
      <c r="T73" t="str">
        <f t="shared" si="17"/>
        <v> </v>
      </c>
    </row>
    <row r="74" spans="1:20" ht="12.75">
      <c r="A74" s="82"/>
      <c r="B74" s="82"/>
      <c r="C74" s="77"/>
      <c r="D74" s="49" t="str">
        <f t="shared" si="12"/>
        <v> </v>
      </c>
      <c r="P74" t="str">
        <f t="shared" si="13"/>
        <v> </v>
      </c>
      <c r="Q74" t="str">
        <f t="shared" si="14"/>
        <v> </v>
      </c>
      <c r="R74" t="str">
        <f t="shared" si="15"/>
        <v> </v>
      </c>
      <c r="S74" t="str">
        <f t="shared" si="16"/>
        <v> </v>
      </c>
      <c r="T74" t="str">
        <f t="shared" si="17"/>
        <v> </v>
      </c>
    </row>
    <row r="75" spans="1:20" ht="12.75">
      <c r="A75" s="82"/>
      <c r="B75" s="82"/>
      <c r="C75" s="77"/>
      <c r="D75" s="49" t="str">
        <f t="shared" si="12"/>
        <v> </v>
      </c>
      <c r="P75" t="str">
        <f t="shared" si="13"/>
        <v> </v>
      </c>
      <c r="Q75" t="str">
        <f t="shared" si="14"/>
        <v> </v>
      </c>
      <c r="R75" t="str">
        <f t="shared" si="15"/>
        <v> </v>
      </c>
      <c r="S75" t="str">
        <f t="shared" si="16"/>
        <v> </v>
      </c>
      <c r="T75" t="str">
        <f t="shared" si="17"/>
        <v> </v>
      </c>
    </row>
    <row r="76" spans="1:20" ht="12.75">
      <c r="A76" s="82"/>
      <c r="B76" s="82"/>
      <c r="C76" s="77"/>
      <c r="D76" s="49" t="str">
        <f t="shared" si="12"/>
        <v> </v>
      </c>
      <c r="P76" t="str">
        <f t="shared" si="13"/>
        <v> </v>
      </c>
      <c r="Q76" t="str">
        <f t="shared" si="14"/>
        <v> </v>
      </c>
      <c r="R76" t="str">
        <f t="shared" si="15"/>
        <v> </v>
      </c>
      <c r="S76" t="str">
        <f t="shared" si="16"/>
        <v> </v>
      </c>
      <c r="T76" t="str">
        <f t="shared" si="17"/>
        <v> </v>
      </c>
    </row>
    <row r="77" spans="1:20" ht="12.75">
      <c r="A77" s="82"/>
      <c r="B77" s="82"/>
      <c r="C77" s="77"/>
      <c r="D77" s="49" t="str">
        <f t="shared" si="12"/>
        <v> </v>
      </c>
      <c r="P77" t="str">
        <f t="shared" si="13"/>
        <v> </v>
      </c>
      <c r="Q77" t="str">
        <f t="shared" si="14"/>
        <v> </v>
      </c>
      <c r="R77" t="str">
        <f t="shared" si="15"/>
        <v> </v>
      </c>
      <c r="S77" t="str">
        <f t="shared" si="16"/>
        <v> </v>
      </c>
      <c r="T77" t="str">
        <f t="shared" si="17"/>
        <v> </v>
      </c>
    </row>
    <row r="78" spans="1:20" ht="12.75">
      <c r="A78" s="82"/>
      <c r="B78" s="82"/>
      <c r="C78" s="77"/>
      <c r="D78" s="49" t="str">
        <f t="shared" si="12"/>
        <v> </v>
      </c>
      <c r="P78" t="str">
        <f t="shared" si="13"/>
        <v> </v>
      </c>
      <c r="Q78" t="str">
        <f t="shared" si="14"/>
        <v> </v>
      </c>
      <c r="R78" t="str">
        <f t="shared" si="15"/>
        <v> </v>
      </c>
      <c r="S78" t="str">
        <f t="shared" si="16"/>
        <v> </v>
      </c>
      <c r="T78" t="str">
        <f t="shared" si="17"/>
        <v> </v>
      </c>
    </row>
    <row r="79" spans="1:20" ht="12.75">
      <c r="A79" s="82"/>
      <c r="B79" s="82"/>
      <c r="C79" s="77"/>
      <c r="D79" s="49" t="str">
        <f t="shared" si="12"/>
        <v> </v>
      </c>
      <c r="P79" t="str">
        <f t="shared" si="13"/>
        <v> </v>
      </c>
      <c r="Q79" t="str">
        <f t="shared" si="14"/>
        <v> </v>
      </c>
      <c r="R79" t="str">
        <f t="shared" si="15"/>
        <v> </v>
      </c>
      <c r="S79" t="str">
        <f t="shared" si="16"/>
        <v> </v>
      </c>
      <c r="T79" t="str">
        <f t="shared" si="17"/>
        <v> </v>
      </c>
    </row>
    <row r="80" spans="1:20" ht="12.75">
      <c r="A80" s="82"/>
      <c r="B80" s="82"/>
      <c r="C80" s="77"/>
      <c r="D80" s="49" t="str">
        <f t="shared" si="12"/>
        <v> </v>
      </c>
      <c r="P80" t="str">
        <f t="shared" si="13"/>
        <v> </v>
      </c>
      <c r="Q80" t="str">
        <f t="shared" si="14"/>
        <v> </v>
      </c>
      <c r="R80" t="str">
        <f t="shared" si="15"/>
        <v> </v>
      </c>
      <c r="S80" t="str">
        <f t="shared" si="16"/>
        <v> </v>
      </c>
      <c r="T80" t="str">
        <f t="shared" si="17"/>
        <v> </v>
      </c>
    </row>
    <row r="81" spans="1:20" ht="12.75">
      <c r="A81" s="82"/>
      <c r="B81" s="82"/>
      <c r="C81" s="77"/>
      <c r="D81" s="49" t="str">
        <f t="shared" si="12"/>
        <v> </v>
      </c>
      <c r="P81" t="str">
        <f t="shared" si="13"/>
        <v> </v>
      </c>
      <c r="Q81" t="str">
        <f t="shared" si="14"/>
        <v> </v>
      </c>
      <c r="R81" t="str">
        <f t="shared" si="15"/>
        <v> </v>
      </c>
      <c r="S81" t="str">
        <f t="shared" si="16"/>
        <v> </v>
      </c>
      <c r="T81" t="str">
        <f t="shared" si="17"/>
        <v> </v>
      </c>
    </row>
    <row r="82" spans="1:20" ht="12.75">
      <c r="A82" s="82"/>
      <c r="B82" s="82"/>
      <c r="C82" s="77"/>
      <c r="D82" s="49" t="str">
        <f t="shared" si="12"/>
        <v> </v>
      </c>
      <c r="P82" t="str">
        <f t="shared" si="13"/>
        <v> </v>
      </c>
      <c r="Q82" t="str">
        <f t="shared" si="14"/>
        <v> </v>
      </c>
      <c r="R82" t="str">
        <f t="shared" si="15"/>
        <v> </v>
      </c>
      <c r="S82" t="str">
        <f t="shared" si="16"/>
        <v> </v>
      </c>
      <c r="T82" t="str">
        <f t="shared" si="17"/>
        <v> </v>
      </c>
    </row>
    <row r="83" spans="1:20" ht="12.75">
      <c r="A83" s="82"/>
      <c r="B83" s="82"/>
      <c r="C83" s="77"/>
      <c r="D83" s="49" t="str">
        <f t="shared" si="12"/>
        <v> </v>
      </c>
      <c r="P83" t="str">
        <f t="shared" si="13"/>
        <v> </v>
      </c>
      <c r="Q83" t="str">
        <f t="shared" si="14"/>
        <v> </v>
      </c>
      <c r="R83" t="str">
        <f t="shared" si="15"/>
        <v> </v>
      </c>
      <c r="S83" t="str">
        <f t="shared" si="16"/>
        <v> </v>
      </c>
      <c r="T83" t="str">
        <f t="shared" si="17"/>
        <v> </v>
      </c>
    </row>
    <row r="84" spans="1:20" ht="12.75">
      <c r="A84" s="82"/>
      <c r="B84" s="82"/>
      <c r="C84" s="77"/>
      <c r="D84" s="49" t="str">
        <f t="shared" si="12"/>
        <v> </v>
      </c>
      <c r="P84" t="str">
        <f t="shared" si="13"/>
        <v> </v>
      </c>
      <c r="Q84" t="str">
        <f t="shared" si="14"/>
        <v> </v>
      </c>
      <c r="R84" t="str">
        <f t="shared" si="15"/>
        <v> </v>
      </c>
      <c r="S84" t="str">
        <f t="shared" si="16"/>
        <v> </v>
      </c>
      <c r="T84" t="str">
        <f t="shared" si="17"/>
        <v> </v>
      </c>
    </row>
    <row r="85" spans="1:20" ht="12.75">
      <c r="A85" s="82"/>
      <c r="B85" s="82"/>
      <c r="C85" s="77"/>
      <c r="D85" s="49" t="str">
        <f t="shared" si="12"/>
        <v> </v>
      </c>
      <c r="P85" t="str">
        <f t="shared" si="13"/>
        <v> </v>
      </c>
      <c r="Q85" t="str">
        <f t="shared" si="14"/>
        <v> </v>
      </c>
      <c r="R85" t="str">
        <f t="shared" si="15"/>
        <v> </v>
      </c>
      <c r="S85" t="str">
        <f t="shared" si="16"/>
        <v> </v>
      </c>
      <c r="T85" t="str">
        <f t="shared" si="17"/>
        <v> </v>
      </c>
    </row>
    <row r="86" spans="1:20" ht="12.75">
      <c r="A86" s="82"/>
      <c r="B86" s="82"/>
      <c r="C86" s="77"/>
      <c r="D86" s="49" t="str">
        <f t="shared" si="12"/>
        <v> </v>
      </c>
      <c r="P86" t="str">
        <f t="shared" si="13"/>
        <v> </v>
      </c>
      <c r="Q86" t="str">
        <f t="shared" si="14"/>
        <v> </v>
      </c>
      <c r="R86" t="str">
        <f t="shared" si="15"/>
        <v> </v>
      </c>
      <c r="S86" t="str">
        <f t="shared" si="16"/>
        <v> </v>
      </c>
      <c r="T86" t="str">
        <f t="shared" si="17"/>
        <v> </v>
      </c>
    </row>
    <row r="87" spans="1:20" ht="12.75">
      <c r="A87" s="82"/>
      <c r="B87" s="82"/>
      <c r="C87" s="77"/>
      <c r="D87" s="49" t="str">
        <f t="shared" si="12"/>
        <v> </v>
      </c>
      <c r="P87" t="str">
        <f t="shared" si="13"/>
        <v> </v>
      </c>
      <c r="Q87" t="str">
        <f t="shared" si="14"/>
        <v> </v>
      </c>
      <c r="R87" t="str">
        <f t="shared" si="15"/>
        <v> </v>
      </c>
      <c r="S87" t="str">
        <f t="shared" si="16"/>
        <v> </v>
      </c>
      <c r="T87" t="str">
        <f t="shared" si="17"/>
        <v> </v>
      </c>
    </row>
    <row r="88" spans="1:20" ht="12.75">
      <c r="A88" s="82"/>
      <c r="B88" s="82"/>
      <c r="C88" s="77"/>
      <c r="D88" s="49" t="str">
        <f t="shared" si="12"/>
        <v> </v>
      </c>
      <c r="P88" t="str">
        <f t="shared" si="13"/>
        <v> </v>
      </c>
      <c r="Q88" t="str">
        <f t="shared" si="14"/>
        <v> </v>
      </c>
      <c r="R88" t="str">
        <f t="shared" si="15"/>
        <v> </v>
      </c>
      <c r="S88" t="str">
        <f t="shared" si="16"/>
        <v> </v>
      </c>
      <c r="T88" t="str">
        <f t="shared" si="17"/>
        <v> </v>
      </c>
    </row>
    <row r="89" spans="1:20" ht="12.75">
      <c r="A89" s="82"/>
      <c r="B89" s="82"/>
      <c r="C89" s="77"/>
      <c r="D89" s="49" t="str">
        <f t="shared" si="12"/>
        <v> </v>
      </c>
      <c r="P89" t="str">
        <f t="shared" si="13"/>
        <v> </v>
      </c>
      <c r="Q89" t="str">
        <f t="shared" si="14"/>
        <v> </v>
      </c>
      <c r="R89" t="str">
        <f t="shared" si="15"/>
        <v> </v>
      </c>
      <c r="S89" t="str">
        <f t="shared" si="16"/>
        <v> </v>
      </c>
      <c r="T89" t="str">
        <f t="shared" si="17"/>
        <v> </v>
      </c>
    </row>
    <row r="90" spans="1:20" ht="12.75">
      <c r="A90" s="82"/>
      <c r="B90" s="82"/>
      <c r="C90" s="77"/>
      <c r="D90" s="49" t="str">
        <f t="shared" si="12"/>
        <v> </v>
      </c>
      <c r="P90" t="str">
        <f t="shared" si="13"/>
        <v> </v>
      </c>
      <c r="Q90" t="str">
        <f t="shared" si="14"/>
        <v> </v>
      </c>
      <c r="R90" t="str">
        <f t="shared" si="15"/>
        <v> </v>
      </c>
      <c r="S90" t="str">
        <f t="shared" si="16"/>
        <v> </v>
      </c>
      <c r="T90" t="str">
        <f t="shared" si="17"/>
        <v> </v>
      </c>
    </row>
    <row r="91" spans="1:20" ht="12.75">
      <c r="A91" s="82"/>
      <c r="B91" s="82"/>
      <c r="C91" s="77"/>
      <c r="D91" s="49" t="str">
        <f t="shared" si="12"/>
        <v> </v>
      </c>
      <c r="P91" t="str">
        <f t="shared" si="13"/>
        <v> </v>
      </c>
      <c r="Q91" t="str">
        <f t="shared" si="14"/>
        <v> </v>
      </c>
      <c r="R91" t="str">
        <f t="shared" si="15"/>
        <v> </v>
      </c>
      <c r="S91" t="str">
        <f t="shared" si="16"/>
        <v> </v>
      </c>
      <c r="T91" t="str">
        <f t="shared" si="17"/>
        <v> </v>
      </c>
    </row>
    <row r="92" spans="1:20" ht="12.75">
      <c r="A92" s="82"/>
      <c r="B92" s="82"/>
      <c r="C92" s="77"/>
      <c r="D92" s="49" t="str">
        <f t="shared" si="12"/>
        <v> </v>
      </c>
      <c r="P92" t="str">
        <f t="shared" si="13"/>
        <v> </v>
      </c>
      <c r="Q92" t="str">
        <f t="shared" si="14"/>
        <v> </v>
      </c>
      <c r="R92" t="str">
        <f t="shared" si="15"/>
        <v> </v>
      </c>
      <c r="S92" t="str">
        <f t="shared" si="16"/>
        <v> </v>
      </c>
      <c r="T92" t="str">
        <f t="shared" si="17"/>
        <v> </v>
      </c>
    </row>
    <row r="93" spans="1:20" ht="12.75">
      <c r="A93" s="82"/>
      <c r="B93" s="82"/>
      <c r="C93" s="77"/>
      <c r="D93" s="49" t="str">
        <f aca="true" t="shared" si="18" ref="D93:D124">IF(ROW(D93)-($J$10+2)&gt;0," ",(A93-($F$5+$F$6*B93))^2)</f>
        <v> </v>
      </c>
      <c r="P93" t="str">
        <f t="shared" si="13"/>
        <v> </v>
      </c>
      <c r="Q93" t="str">
        <f t="shared" si="14"/>
        <v> </v>
      </c>
      <c r="R93" t="str">
        <f t="shared" si="15"/>
        <v> </v>
      </c>
      <c r="S93" t="str">
        <f t="shared" si="16"/>
        <v> </v>
      </c>
      <c r="T93" t="str">
        <f t="shared" si="17"/>
        <v> </v>
      </c>
    </row>
    <row r="94" spans="1:20" ht="12.75">
      <c r="A94" s="82"/>
      <c r="B94" s="82"/>
      <c r="C94" s="77"/>
      <c r="D94" s="49" t="str">
        <f t="shared" si="18"/>
        <v> </v>
      </c>
      <c r="P94" t="str">
        <f t="shared" si="13"/>
        <v> </v>
      </c>
      <c r="Q94" t="str">
        <f t="shared" si="14"/>
        <v> </v>
      </c>
      <c r="R94" t="str">
        <f t="shared" si="15"/>
        <v> </v>
      </c>
      <c r="S94" t="str">
        <f t="shared" si="16"/>
        <v> </v>
      </c>
      <c r="T94" t="str">
        <f t="shared" si="17"/>
        <v> </v>
      </c>
    </row>
    <row r="95" spans="1:20" ht="12.75">
      <c r="A95" s="82"/>
      <c r="B95" s="82"/>
      <c r="C95" s="77"/>
      <c r="D95" s="49" t="str">
        <f t="shared" si="18"/>
        <v> </v>
      </c>
      <c r="P95" t="str">
        <f t="shared" si="13"/>
        <v> </v>
      </c>
      <c r="Q95" t="str">
        <f t="shared" si="14"/>
        <v> </v>
      </c>
      <c r="R95" t="str">
        <f t="shared" si="15"/>
        <v> </v>
      </c>
      <c r="S95" t="str">
        <f t="shared" si="16"/>
        <v> </v>
      </c>
      <c r="T95" t="str">
        <f t="shared" si="17"/>
        <v> </v>
      </c>
    </row>
    <row r="96" spans="1:20" ht="12.75">
      <c r="A96" s="82"/>
      <c r="B96" s="82"/>
      <c r="C96" s="77"/>
      <c r="D96" s="49" t="str">
        <f t="shared" si="18"/>
        <v> </v>
      </c>
      <c r="P96" t="str">
        <f t="shared" si="13"/>
        <v> </v>
      </c>
      <c r="Q96" t="str">
        <f t="shared" si="14"/>
        <v> </v>
      </c>
      <c r="R96" t="str">
        <f t="shared" si="15"/>
        <v> </v>
      </c>
      <c r="S96" t="str">
        <f t="shared" si="16"/>
        <v> </v>
      </c>
      <c r="T96" t="str">
        <f t="shared" si="17"/>
        <v> </v>
      </c>
    </row>
    <row r="97" spans="1:20" ht="12.75">
      <c r="A97" s="82"/>
      <c r="B97" s="82"/>
      <c r="C97" s="77"/>
      <c r="D97" s="49" t="str">
        <f t="shared" si="18"/>
        <v> </v>
      </c>
      <c r="P97" t="str">
        <f t="shared" si="13"/>
        <v> </v>
      </c>
      <c r="Q97" t="str">
        <f t="shared" si="14"/>
        <v> </v>
      </c>
      <c r="R97" t="str">
        <f t="shared" si="15"/>
        <v> </v>
      </c>
      <c r="S97" t="str">
        <f t="shared" si="16"/>
        <v> </v>
      </c>
      <c r="T97" t="str">
        <f t="shared" si="17"/>
        <v> </v>
      </c>
    </row>
    <row r="98" spans="1:20" ht="12.75">
      <c r="A98" s="82"/>
      <c r="B98" s="82"/>
      <c r="C98" s="77"/>
      <c r="D98" s="49" t="str">
        <f t="shared" si="18"/>
        <v> </v>
      </c>
      <c r="P98" t="str">
        <f t="shared" si="13"/>
        <v> </v>
      </c>
      <c r="Q98" t="str">
        <f t="shared" si="14"/>
        <v> </v>
      </c>
      <c r="R98" t="str">
        <f t="shared" si="15"/>
        <v> </v>
      </c>
      <c r="S98" t="str">
        <f t="shared" si="16"/>
        <v> </v>
      </c>
      <c r="T98" t="str">
        <f t="shared" si="17"/>
        <v> </v>
      </c>
    </row>
    <row r="99" spans="1:20" ht="12.75">
      <c r="A99" s="82"/>
      <c r="B99" s="82"/>
      <c r="C99" s="77"/>
      <c r="D99" s="49" t="str">
        <f t="shared" si="18"/>
        <v> </v>
      </c>
      <c r="P99" t="str">
        <f t="shared" si="13"/>
        <v> </v>
      </c>
      <c r="Q99" t="str">
        <f t="shared" si="14"/>
        <v> </v>
      </c>
      <c r="R99" t="str">
        <f t="shared" si="15"/>
        <v> </v>
      </c>
      <c r="S99" t="str">
        <f t="shared" si="16"/>
        <v> </v>
      </c>
      <c r="T99" t="str">
        <f t="shared" si="17"/>
        <v> </v>
      </c>
    </row>
    <row r="100" spans="1:20" ht="12.75">
      <c r="A100" s="82"/>
      <c r="B100" s="82"/>
      <c r="C100" s="77"/>
      <c r="D100" s="49" t="str">
        <f t="shared" si="18"/>
        <v> </v>
      </c>
      <c r="P100" t="str">
        <f t="shared" si="13"/>
        <v> </v>
      </c>
      <c r="Q100" t="str">
        <f t="shared" si="14"/>
        <v> </v>
      </c>
      <c r="R100" t="str">
        <f t="shared" si="15"/>
        <v> </v>
      </c>
      <c r="S100" t="str">
        <f t="shared" si="16"/>
        <v> </v>
      </c>
      <c r="T100" t="str">
        <f t="shared" si="17"/>
        <v> </v>
      </c>
    </row>
    <row r="101" spans="1:20" ht="12.75">
      <c r="A101" s="82"/>
      <c r="B101" s="82"/>
      <c r="C101" s="77"/>
      <c r="D101" s="49" t="str">
        <f t="shared" si="18"/>
        <v> </v>
      </c>
      <c r="P101" t="str">
        <f t="shared" si="13"/>
        <v> </v>
      </c>
      <c r="Q101" t="str">
        <f t="shared" si="14"/>
        <v> </v>
      </c>
      <c r="R101" t="str">
        <f t="shared" si="15"/>
        <v> </v>
      </c>
      <c r="S101" t="str">
        <f t="shared" si="16"/>
        <v> </v>
      </c>
      <c r="T101" t="str">
        <f t="shared" si="17"/>
        <v> </v>
      </c>
    </row>
    <row r="102" spans="1:20" ht="12.75">
      <c r="A102" s="82"/>
      <c r="B102" s="82"/>
      <c r="C102" s="77"/>
      <c r="D102" s="49" t="str">
        <f t="shared" si="18"/>
        <v> </v>
      </c>
      <c r="P102" t="str">
        <f t="shared" si="13"/>
        <v> </v>
      </c>
      <c r="Q102" t="str">
        <f t="shared" si="14"/>
        <v> </v>
      </c>
      <c r="R102" t="str">
        <f t="shared" si="15"/>
        <v> </v>
      </c>
      <c r="S102" t="str">
        <f t="shared" si="16"/>
        <v> </v>
      </c>
      <c r="T102" t="str">
        <f t="shared" si="17"/>
        <v> </v>
      </c>
    </row>
    <row r="103" spans="1:20" ht="12.75">
      <c r="A103" s="82"/>
      <c r="B103" s="82"/>
      <c r="C103" s="77"/>
      <c r="D103" s="49" t="str">
        <f t="shared" si="18"/>
        <v> </v>
      </c>
      <c r="P103" t="str">
        <f t="shared" si="13"/>
        <v> </v>
      </c>
      <c r="Q103" t="str">
        <f t="shared" si="14"/>
        <v> </v>
      </c>
      <c r="R103" t="str">
        <f t="shared" si="15"/>
        <v> </v>
      </c>
      <c r="S103" t="str">
        <f t="shared" si="16"/>
        <v> </v>
      </c>
      <c r="T103" t="str">
        <f t="shared" si="17"/>
        <v> </v>
      </c>
    </row>
    <row r="104" spans="1:4" ht="12.75">
      <c r="A104" s="100"/>
      <c r="B104" s="100"/>
      <c r="C104" s="77"/>
      <c r="D104" s="49" t="str">
        <f t="shared" si="18"/>
        <v> </v>
      </c>
    </row>
    <row r="105" spans="1:4" ht="12.75">
      <c r="A105" s="101"/>
      <c r="B105" s="101"/>
      <c r="C105" s="77"/>
      <c r="D105" s="49" t="str">
        <f t="shared" si="18"/>
        <v> </v>
      </c>
    </row>
    <row r="106" spans="1:4" ht="12.75">
      <c r="A106" s="101"/>
      <c r="B106" s="101"/>
      <c r="C106" s="77"/>
      <c r="D106" s="49" t="str">
        <f t="shared" si="18"/>
        <v> </v>
      </c>
    </row>
    <row r="107" spans="1:4" ht="12.75">
      <c r="A107" s="101"/>
      <c r="B107" s="101"/>
      <c r="C107" s="77"/>
      <c r="D107" s="49" t="str">
        <f t="shared" si="18"/>
        <v> </v>
      </c>
    </row>
    <row r="108" spans="1:4" ht="12.75">
      <c r="A108" s="101"/>
      <c r="B108" s="101"/>
      <c r="C108" s="77"/>
      <c r="D108" s="49" t="str">
        <f t="shared" si="18"/>
        <v> </v>
      </c>
    </row>
    <row r="109" spans="1:4" ht="12.75">
      <c r="A109" s="101"/>
      <c r="B109" s="101"/>
      <c r="C109" s="77"/>
      <c r="D109" s="49" t="str">
        <f t="shared" si="18"/>
        <v> </v>
      </c>
    </row>
    <row r="110" spans="1:4" ht="12.75">
      <c r="A110" s="101"/>
      <c r="B110" s="101"/>
      <c r="C110" s="77"/>
      <c r="D110" s="49" t="str">
        <f t="shared" si="18"/>
        <v> </v>
      </c>
    </row>
    <row r="111" spans="1:4" ht="12.75">
      <c r="A111" s="101"/>
      <c r="B111" s="101"/>
      <c r="C111" s="77"/>
      <c r="D111" s="49" t="str">
        <f t="shared" si="18"/>
        <v> </v>
      </c>
    </row>
    <row r="112" spans="1:4" ht="12.75">
      <c r="A112" s="101"/>
      <c r="B112" s="101"/>
      <c r="C112" s="77"/>
      <c r="D112" s="49" t="str">
        <f t="shared" si="18"/>
        <v> </v>
      </c>
    </row>
    <row r="113" spans="1:4" ht="12.75">
      <c r="A113" s="101"/>
      <c r="B113" s="101"/>
      <c r="C113" s="77"/>
      <c r="D113" s="49" t="str">
        <f t="shared" si="18"/>
        <v> </v>
      </c>
    </row>
    <row r="114" spans="1:4" ht="12.75">
      <c r="A114" s="101"/>
      <c r="B114" s="101"/>
      <c r="C114" s="77"/>
      <c r="D114" s="49" t="str">
        <f t="shared" si="18"/>
        <v> </v>
      </c>
    </row>
    <row r="115" spans="1:4" ht="12.75">
      <c r="A115" s="101"/>
      <c r="B115" s="101"/>
      <c r="C115" s="77"/>
      <c r="D115" s="49" t="str">
        <f t="shared" si="18"/>
        <v> </v>
      </c>
    </row>
    <row r="116" spans="1:4" ht="12.75">
      <c r="A116" s="101"/>
      <c r="B116" s="101"/>
      <c r="C116" s="77"/>
      <c r="D116" s="49" t="str">
        <f t="shared" si="18"/>
        <v> </v>
      </c>
    </row>
    <row r="117" spans="1:4" ht="12.75">
      <c r="A117" s="101"/>
      <c r="B117" s="101"/>
      <c r="C117" s="77"/>
      <c r="D117" s="49" t="str">
        <f t="shared" si="18"/>
        <v> </v>
      </c>
    </row>
    <row r="118" spans="1:4" ht="12.75">
      <c r="A118" s="101"/>
      <c r="B118" s="101"/>
      <c r="C118" s="77"/>
      <c r="D118" s="49" t="str">
        <f t="shared" si="18"/>
        <v> </v>
      </c>
    </row>
    <row r="119" spans="1:4" ht="12.75">
      <c r="A119" s="101"/>
      <c r="B119" s="101"/>
      <c r="C119" s="77"/>
      <c r="D119" s="49" t="str">
        <f t="shared" si="18"/>
        <v> </v>
      </c>
    </row>
    <row r="120" spans="1:4" ht="12.75">
      <c r="A120" s="101"/>
      <c r="B120" s="101"/>
      <c r="C120" s="77"/>
      <c r="D120" s="49" t="str">
        <f t="shared" si="18"/>
        <v> </v>
      </c>
    </row>
    <row r="121" spans="1:4" ht="12.75">
      <c r="A121" s="101"/>
      <c r="B121" s="101"/>
      <c r="C121" s="77"/>
      <c r="D121" s="49" t="str">
        <f t="shared" si="18"/>
        <v> </v>
      </c>
    </row>
    <row r="122" spans="1:4" ht="12.75">
      <c r="A122" s="101"/>
      <c r="B122" s="101"/>
      <c r="C122" s="77"/>
      <c r="D122" s="49" t="str">
        <f t="shared" si="18"/>
        <v> </v>
      </c>
    </row>
    <row r="123" spans="1:4" ht="12.75">
      <c r="A123" s="101"/>
      <c r="B123" s="101"/>
      <c r="C123" s="77"/>
      <c r="D123" s="49" t="str">
        <f t="shared" si="18"/>
        <v> </v>
      </c>
    </row>
    <row r="124" spans="1:4" ht="12.75">
      <c r="A124" s="101"/>
      <c r="B124" s="101"/>
      <c r="C124" s="77"/>
      <c r="D124" s="49" t="str">
        <f t="shared" si="18"/>
        <v> </v>
      </c>
    </row>
    <row r="125" spans="1:4" ht="12.75">
      <c r="A125" s="101"/>
      <c r="B125" s="101"/>
      <c r="C125" s="77"/>
      <c r="D125" s="49" t="str">
        <f aca="true" t="shared" si="19" ref="D125:D156">IF(ROW(D125)-($J$10+2)&gt;0," ",(A125-($F$5+$F$6*B125))^2)</f>
        <v> </v>
      </c>
    </row>
    <row r="126" spans="1:4" ht="12.75">
      <c r="A126" s="101"/>
      <c r="B126" s="101"/>
      <c r="C126" s="77"/>
      <c r="D126" s="49" t="str">
        <f t="shared" si="19"/>
        <v> </v>
      </c>
    </row>
    <row r="127" spans="1:4" ht="12.75">
      <c r="A127" s="101"/>
      <c r="B127" s="101"/>
      <c r="C127" s="77"/>
      <c r="D127" s="49" t="str">
        <f t="shared" si="19"/>
        <v> </v>
      </c>
    </row>
    <row r="128" spans="1:4" ht="12.75">
      <c r="A128" s="101"/>
      <c r="B128" s="101"/>
      <c r="C128" s="77"/>
      <c r="D128" s="49" t="str">
        <f t="shared" si="19"/>
        <v> </v>
      </c>
    </row>
    <row r="129" spans="1:4" ht="12.75">
      <c r="A129" s="101"/>
      <c r="B129" s="101"/>
      <c r="C129" s="77"/>
      <c r="D129" s="49" t="str">
        <f t="shared" si="19"/>
        <v> </v>
      </c>
    </row>
    <row r="130" spans="1:4" ht="12.75">
      <c r="A130" s="101"/>
      <c r="B130" s="101"/>
      <c r="C130" s="77"/>
      <c r="D130" s="49" t="str">
        <f t="shared" si="19"/>
        <v> </v>
      </c>
    </row>
    <row r="131" spans="1:4" ht="12.75">
      <c r="A131" s="101"/>
      <c r="B131" s="101"/>
      <c r="C131" s="77"/>
      <c r="D131" s="49" t="str">
        <f t="shared" si="19"/>
        <v> </v>
      </c>
    </row>
    <row r="132" spans="1:4" ht="12.75">
      <c r="A132" s="101"/>
      <c r="B132" s="101"/>
      <c r="C132" s="77"/>
      <c r="D132" s="49" t="str">
        <f t="shared" si="19"/>
        <v> </v>
      </c>
    </row>
    <row r="133" spans="1:4" ht="12.75">
      <c r="A133" s="101"/>
      <c r="B133" s="101"/>
      <c r="C133" s="77"/>
      <c r="D133" s="49" t="str">
        <f t="shared" si="19"/>
        <v> </v>
      </c>
    </row>
    <row r="134" spans="1:4" ht="12.75">
      <c r="A134" s="101"/>
      <c r="B134" s="101"/>
      <c r="C134" s="77"/>
      <c r="D134" s="49" t="str">
        <f t="shared" si="19"/>
        <v> </v>
      </c>
    </row>
    <row r="135" spans="1:4" ht="12.75">
      <c r="A135" s="101"/>
      <c r="B135" s="101"/>
      <c r="C135" s="77"/>
      <c r="D135" s="49" t="str">
        <f t="shared" si="19"/>
        <v> </v>
      </c>
    </row>
    <row r="136" spans="1:4" ht="12.75">
      <c r="A136" s="101"/>
      <c r="B136" s="101"/>
      <c r="C136" s="77"/>
      <c r="D136" s="49" t="str">
        <f t="shared" si="19"/>
        <v> </v>
      </c>
    </row>
    <row r="137" spans="1:4" ht="12.75">
      <c r="A137" s="101"/>
      <c r="B137" s="101"/>
      <c r="C137" s="77"/>
      <c r="D137" s="49" t="str">
        <f t="shared" si="19"/>
        <v> </v>
      </c>
    </row>
    <row r="138" spans="1:4" ht="12.75">
      <c r="A138" s="101"/>
      <c r="B138" s="101"/>
      <c r="C138" s="77"/>
      <c r="D138" s="49" t="str">
        <f t="shared" si="19"/>
        <v> </v>
      </c>
    </row>
    <row r="139" spans="1:4" ht="12.75">
      <c r="A139" s="101"/>
      <c r="B139" s="101"/>
      <c r="C139" s="77"/>
      <c r="D139" s="49" t="str">
        <f t="shared" si="19"/>
        <v> </v>
      </c>
    </row>
    <row r="140" spans="1:4" ht="12.75">
      <c r="A140" s="101"/>
      <c r="B140" s="101"/>
      <c r="C140" s="77"/>
      <c r="D140" s="49" t="str">
        <f t="shared" si="19"/>
        <v> </v>
      </c>
    </row>
    <row r="141" spans="1:4" ht="12.75">
      <c r="A141" s="101"/>
      <c r="B141" s="101"/>
      <c r="C141" s="77"/>
      <c r="D141" s="49" t="str">
        <f t="shared" si="19"/>
        <v> </v>
      </c>
    </row>
    <row r="142" spans="1:4" ht="12.75">
      <c r="A142" s="101"/>
      <c r="B142" s="101"/>
      <c r="C142" s="77"/>
      <c r="D142" s="49" t="str">
        <f t="shared" si="19"/>
        <v> </v>
      </c>
    </row>
    <row r="143" spans="1:4" ht="12.75">
      <c r="A143" s="101"/>
      <c r="B143" s="101"/>
      <c r="C143" s="77"/>
      <c r="D143" s="49" t="str">
        <f t="shared" si="19"/>
        <v> </v>
      </c>
    </row>
    <row r="144" spans="1:4" ht="12.75">
      <c r="A144" s="101"/>
      <c r="B144" s="101"/>
      <c r="C144" s="77"/>
      <c r="D144" s="49" t="str">
        <f t="shared" si="19"/>
        <v> </v>
      </c>
    </row>
    <row r="145" spans="1:4" ht="12.75">
      <c r="A145" s="101"/>
      <c r="B145" s="101"/>
      <c r="C145" s="77"/>
      <c r="D145" s="49" t="str">
        <f t="shared" si="19"/>
        <v> </v>
      </c>
    </row>
    <row r="146" spans="1:4" ht="12.75">
      <c r="A146" s="101"/>
      <c r="B146" s="101"/>
      <c r="C146" s="77"/>
      <c r="D146" s="49" t="str">
        <f t="shared" si="19"/>
        <v> </v>
      </c>
    </row>
    <row r="147" spans="1:4" ht="12.75">
      <c r="A147" s="101"/>
      <c r="B147" s="101"/>
      <c r="C147" s="77"/>
      <c r="D147" s="49" t="str">
        <f t="shared" si="19"/>
        <v> </v>
      </c>
    </row>
    <row r="148" spans="1:4" ht="12.75">
      <c r="A148" s="101"/>
      <c r="B148" s="101"/>
      <c r="C148" s="77"/>
      <c r="D148" s="49" t="str">
        <f t="shared" si="19"/>
        <v> </v>
      </c>
    </row>
    <row r="149" spans="1:4" ht="12.75">
      <c r="A149" s="101"/>
      <c r="B149" s="101"/>
      <c r="C149" s="77"/>
      <c r="D149" s="49" t="str">
        <f t="shared" si="19"/>
        <v> </v>
      </c>
    </row>
    <row r="150" spans="1:4" ht="12.75">
      <c r="A150" s="101"/>
      <c r="B150" s="101"/>
      <c r="C150" s="77"/>
      <c r="D150" s="49" t="str">
        <f t="shared" si="19"/>
        <v> </v>
      </c>
    </row>
    <row r="151" spans="1:4" ht="12.75">
      <c r="A151" s="101"/>
      <c r="B151" s="101"/>
      <c r="C151" s="77"/>
      <c r="D151" s="49" t="str">
        <f t="shared" si="19"/>
        <v> </v>
      </c>
    </row>
    <row r="152" spans="1:4" ht="12.75">
      <c r="A152" s="101"/>
      <c r="B152" s="101"/>
      <c r="C152" s="77"/>
      <c r="D152" s="49" t="str">
        <f t="shared" si="19"/>
        <v> </v>
      </c>
    </row>
    <row r="153" spans="1:4" ht="12.75">
      <c r="A153" s="101"/>
      <c r="B153" s="101"/>
      <c r="C153" s="77"/>
      <c r="D153" s="49" t="str">
        <f t="shared" si="19"/>
        <v> </v>
      </c>
    </row>
    <row r="154" spans="1:4" ht="12.75">
      <c r="A154" s="101"/>
      <c r="B154" s="101"/>
      <c r="C154" s="77"/>
      <c r="D154" s="49" t="str">
        <f t="shared" si="19"/>
        <v> </v>
      </c>
    </row>
    <row r="155" spans="1:4" ht="12.75">
      <c r="A155" s="101"/>
      <c r="B155" s="101"/>
      <c r="C155" s="77"/>
      <c r="D155" s="49" t="str">
        <f t="shared" si="19"/>
        <v> </v>
      </c>
    </row>
    <row r="156" spans="1:4" ht="12.75">
      <c r="A156" s="101"/>
      <c r="B156" s="101"/>
      <c r="C156" s="77"/>
      <c r="D156" s="49" t="str">
        <f t="shared" si="19"/>
        <v> </v>
      </c>
    </row>
    <row r="157" spans="1:4" ht="12.75">
      <c r="A157" s="101"/>
      <c r="B157" s="101"/>
      <c r="C157" s="77"/>
      <c r="D157" s="49" t="str">
        <f aca="true" t="shared" si="20" ref="D157:D188">IF(ROW(D157)-($J$10+2)&gt;0," ",(A157-($F$5+$F$6*B157))^2)</f>
        <v> </v>
      </c>
    </row>
    <row r="158" spans="1:4" ht="12.75">
      <c r="A158" s="101"/>
      <c r="B158" s="101"/>
      <c r="C158" s="77"/>
      <c r="D158" s="49" t="str">
        <f t="shared" si="20"/>
        <v> </v>
      </c>
    </row>
    <row r="159" spans="1:4" ht="12.75">
      <c r="A159" s="101"/>
      <c r="B159" s="101"/>
      <c r="C159" s="77"/>
      <c r="D159" s="49" t="str">
        <f t="shared" si="20"/>
        <v> </v>
      </c>
    </row>
    <row r="160" spans="1:4" ht="12.75">
      <c r="A160" s="101"/>
      <c r="B160" s="101"/>
      <c r="C160" s="77"/>
      <c r="D160" s="49" t="str">
        <f t="shared" si="20"/>
        <v> </v>
      </c>
    </row>
    <row r="161" spans="1:4" ht="12.75">
      <c r="A161" s="101"/>
      <c r="B161" s="101"/>
      <c r="C161" s="77"/>
      <c r="D161" s="49" t="str">
        <f t="shared" si="20"/>
        <v> </v>
      </c>
    </row>
    <row r="162" spans="1:4" ht="12.75">
      <c r="A162" s="101"/>
      <c r="B162" s="101"/>
      <c r="C162" s="77"/>
      <c r="D162" s="49" t="str">
        <f t="shared" si="20"/>
        <v> </v>
      </c>
    </row>
    <row r="163" spans="1:4" ht="12.75">
      <c r="A163" s="101"/>
      <c r="B163" s="101"/>
      <c r="C163" s="77"/>
      <c r="D163" s="49" t="str">
        <f t="shared" si="20"/>
        <v> </v>
      </c>
    </row>
    <row r="164" spans="1:4" ht="12.75">
      <c r="A164" s="101"/>
      <c r="B164" s="101"/>
      <c r="C164" s="77"/>
      <c r="D164" s="49" t="str">
        <f t="shared" si="20"/>
        <v> </v>
      </c>
    </row>
    <row r="165" spans="1:4" ht="12.75">
      <c r="A165" s="101"/>
      <c r="B165" s="101"/>
      <c r="C165" s="77"/>
      <c r="D165" s="49" t="str">
        <f t="shared" si="20"/>
        <v> </v>
      </c>
    </row>
    <row r="166" spans="1:4" ht="12.75">
      <c r="A166" s="101"/>
      <c r="B166" s="101"/>
      <c r="C166" s="77"/>
      <c r="D166" s="49" t="str">
        <f t="shared" si="20"/>
        <v> </v>
      </c>
    </row>
    <row r="167" spans="1:4" ht="12.75">
      <c r="A167" s="101"/>
      <c r="B167" s="101"/>
      <c r="C167" s="77"/>
      <c r="D167" s="49" t="str">
        <f t="shared" si="20"/>
        <v> </v>
      </c>
    </row>
    <row r="168" spans="1:4" ht="12.75">
      <c r="A168" s="101"/>
      <c r="B168" s="101"/>
      <c r="C168" s="77"/>
      <c r="D168" s="49" t="str">
        <f t="shared" si="20"/>
        <v> </v>
      </c>
    </row>
    <row r="169" spans="1:4" ht="12.75">
      <c r="A169" s="101"/>
      <c r="B169" s="101"/>
      <c r="C169" s="77"/>
      <c r="D169" s="49" t="str">
        <f t="shared" si="20"/>
        <v> </v>
      </c>
    </row>
    <row r="170" spans="1:4" ht="12.75">
      <c r="A170" s="101"/>
      <c r="B170" s="101"/>
      <c r="C170" s="77"/>
      <c r="D170" s="49" t="str">
        <f t="shared" si="20"/>
        <v> </v>
      </c>
    </row>
    <row r="171" spans="1:4" ht="12.75">
      <c r="A171" s="101"/>
      <c r="B171" s="101"/>
      <c r="C171" s="77"/>
      <c r="D171" s="49" t="str">
        <f t="shared" si="20"/>
        <v> </v>
      </c>
    </row>
    <row r="172" spans="1:4" ht="12.75">
      <c r="A172" s="101"/>
      <c r="B172" s="101"/>
      <c r="C172" s="77"/>
      <c r="D172" s="49" t="str">
        <f t="shared" si="20"/>
        <v> </v>
      </c>
    </row>
    <row r="173" spans="1:4" ht="12.75">
      <c r="A173" s="101"/>
      <c r="B173" s="101"/>
      <c r="C173" s="77"/>
      <c r="D173" s="49" t="str">
        <f t="shared" si="20"/>
        <v> </v>
      </c>
    </row>
    <row r="174" spans="1:4" ht="12.75">
      <c r="A174" s="101"/>
      <c r="B174" s="101"/>
      <c r="C174" s="77"/>
      <c r="D174" s="49" t="str">
        <f t="shared" si="20"/>
        <v> </v>
      </c>
    </row>
    <row r="175" spans="1:4" ht="12.75">
      <c r="A175" s="101"/>
      <c r="B175" s="101"/>
      <c r="C175" s="77"/>
      <c r="D175" s="49" t="str">
        <f t="shared" si="20"/>
        <v> </v>
      </c>
    </row>
    <row r="176" spans="1:4" ht="12.75">
      <c r="A176" s="101"/>
      <c r="B176" s="101"/>
      <c r="C176" s="77"/>
      <c r="D176" s="49" t="str">
        <f t="shared" si="20"/>
        <v> </v>
      </c>
    </row>
    <row r="177" spans="1:4" ht="12.75">
      <c r="A177" s="101"/>
      <c r="B177" s="101"/>
      <c r="C177" s="77"/>
      <c r="D177" s="49" t="str">
        <f t="shared" si="20"/>
        <v> </v>
      </c>
    </row>
    <row r="178" spans="1:4" ht="12.75">
      <c r="A178" s="101"/>
      <c r="B178" s="101"/>
      <c r="C178" s="77"/>
      <c r="D178" s="49" t="str">
        <f t="shared" si="20"/>
        <v> </v>
      </c>
    </row>
    <row r="179" spans="1:4" ht="12.75">
      <c r="A179" s="101"/>
      <c r="B179" s="101"/>
      <c r="C179" s="77"/>
      <c r="D179" s="49" t="str">
        <f t="shared" si="20"/>
        <v> </v>
      </c>
    </row>
    <row r="180" spans="1:4" ht="12.75">
      <c r="A180" s="101"/>
      <c r="B180" s="101"/>
      <c r="C180" s="77"/>
      <c r="D180" s="49" t="str">
        <f t="shared" si="20"/>
        <v> </v>
      </c>
    </row>
    <row r="181" spans="1:4" ht="12.75">
      <c r="A181" s="101"/>
      <c r="B181" s="101"/>
      <c r="C181" s="77"/>
      <c r="D181" s="49" t="str">
        <f t="shared" si="20"/>
        <v> </v>
      </c>
    </row>
    <row r="182" spans="1:4" ht="12.75">
      <c r="A182" s="101"/>
      <c r="B182" s="101"/>
      <c r="C182" s="77"/>
      <c r="D182" s="49" t="str">
        <f t="shared" si="20"/>
        <v> </v>
      </c>
    </row>
    <row r="183" spans="1:4" ht="12.75">
      <c r="A183" s="101"/>
      <c r="B183" s="101"/>
      <c r="C183" s="77"/>
      <c r="D183" s="49" t="str">
        <f t="shared" si="20"/>
        <v> </v>
      </c>
    </row>
    <row r="184" spans="1:4" ht="12.75">
      <c r="A184" s="101"/>
      <c r="B184" s="101"/>
      <c r="C184" s="77"/>
      <c r="D184" s="49" t="str">
        <f t="shared" si="20"/>
        <v> </v>
      </c>
    </row>
    <row r="185" spans="1:4" ht="12.75">
      <c r="A185" s="101"/>
      <c r="B185" s="101"/>
      <c r="C185" s="77"/>
      <c r="D185" s="49" t="str">
        <f t="shared" si="20"/>
        <v> </v>
      </c>
    </row>
    <row r="186" spans="1:4" ht="12.75">
      <c r="A186" s="101"/>
      <c r="B186" s="101"/>
      <c r="C186" s="77"/>
      <c r="D186" s="49" t="str">
        <f t="shared" si="20"/>
        <v> </v>
      </c>
    </row>
    <row r="187" spans="1:4" ht="12.75">
      <c r="A187" s="101"/>
      <c r="B187" s="101"/>
      <c r="C187" s="77"/>
      <c r="D187" s="49" t="str">
        <f t="shared" si="20"/>
        <v> </v>
      </c>
    </row>
    <row r="188" spans="1:4" ht="12.75">
      <c r="A188" s="101"/>
      <c r="B188" s="101"/>
      <c r="C188" s="77"/>
      <c r="D188" s="49" t="str">
        <f t="shared" si="20"/>
        <v> </v>
      </c>
    </row>
    <row r="189" spans="1:4" ht="12.75">
      <c r="A189" s="101"/>
      <c r="B189" s="101"/>
      <c r="C189" s="77"/>
      <c r="D189" s="49" t="str">
        <f aca="true" t="shared" si="21" ref="D189:D203">IF(ROW(D189)-($J$10+2)&gt;0," ",(A189-($F$5+$F$6*B189))^2)</f>
        <v> </v>
      </c>
    </row>
    <row r="190" spans="1:4" ht="12.75">
      <c r="A190" s="101"/>
      <c r="B190" s="101"/>
      <c r="C190" s="77"/>
      <c r="D190" s="49" t="str">
        <f t="shared" si="21"/>
        <v> </v>
      </c>
    </row>
    <row r="191" spans="1:4" ht="12.75">
      <c r="A191" s="101"/>
      <c r="B191" s="101"/>
      <c r="C191" s="77"/>
      <c r="D191" s="49" t="str">
        <f t="shared" si="21"/>
        <v> </v>
      </c>
    </row>
    <row r="192" spans="1:4" ht="12.75">
      <c r="A192" s="101"/>
      <c r="B192" s="101"/>
      <c r="C192" s="77"/>
      <c r="D192" s="49" t="str">
        <f t="shared" si="21"/>
        <v> </v>
      </c>
    </row>
    <row r="193" spans="1:4" ht="12.75">
      <c r="A193" s="101"/>
      <c r="B193" s="101"/>
      <c r="C193" s="77"/>
      <c r="D193" s="49" t="str">
        <f t="shared" si="21"/>
        <v> </v>
      </c>
    </row>
    <row r="194" spans="1:4" ht="12.75">
      <c r="A194" s="101"/>
      <c r="B194" s="101"/>
      <c r="C194" s="77"/>
      <c r="D194" s="49" t="str">
        <f t="shared" si="21"/>
        <v> </v>
      </c>
    </row>
    <row r="195" spans="1:4" ht="12.75">
      <c r="A195" s="101"/>
      <c r="B195" s="101"/>
      <c r="C195" s="77"/>
      <c r="D195" s="49" t="str">
        <f t="shared" si="21"/>
        <v> </v>
      </c>
    </row>
    <row r="196" spans="1:4" ht="12.75">
      <c r="A196" s="101"/>
      <c r="B196" s="101"/>
      <c r="C196" s="77"/>
      <c r="D196" s="49" t="str">
        <f t="shared" si="21"/>
        <v> </v>
      </c>
    </row>
    <row r="197" spans="1:4" ht="12.75">
      <c r="A197" s="101"/>
      <c r="B197" s="101"/>
      <c r="C197" s="77"/>
      <c r="D197" s="49" t="str">
        <f t="shared" si="21"/>
        <v> </v>
      </c>
    </row>
    <row r="198" spans="1:4" ht="12.75">
      <c r="A198" s="101"/>
      <c r="B198" s="101"/>
      <c r="C198" s="77"/>
      <c r="D198" s="49" t="str">
        <f t="shared" si="21"/>
        <v> </v>
      </c>
    </row>
    <row r="199" spans="1:4" ht="12.75">
      <c r="A199" s="101"/>
      <c r="B199" s="101"/>
      <c r="C199" s="77"/>
      <c r="D199" s="49" t="str">
        <f t="shared" si="21"/>
        <v> </v>
      </c>
    </row>
    <row r="200" spans="1:4" ht="12.75">
      <c r="A200" s="101"/>
      <c r="B200" s="101"/>
      <c r="C200" s="77"/>
      <c r="D200" s="49" t="str">
        <f t="shared" si="21"/>
        <v> </v>
      </c>
    </row>
    <row r="201" spans="1:4" ht="12.75">
      <c r="A201" s="101"/>
      <c r="B201" s="101"/>
      <c r="C201" s="77"/>
      <c r="D201" s="49" t="str">
        <f t="shared" si="21"/>
        <v> </v>
      </c>
    </row>
    <row r="202" spans="1:4" ht="12.75">
      <c r="A202" s="101"/>
      <c r="B202" s="101"/>
      <c r="C202" s="77"/>
      <c r="D202" s="49" t="str">
        <f t="shared" si="21"/>
        <v> </v>
      </c>
    </row>
    <row r="203" spans="1:4" ht="12.75">
      <c r="A203" s="101"/>
      <c r="B203" s="101"/>
      <c r="C203" s="77"/>
      <c r="D203" s="49" t="str">
        <f t="shared" si="21"/>
        <v> </v>
      </c>
    </row>
    <row r="204" spans="1:2" ht="12.75">
      <c r="A204" s="102"/>
      <c r="B204" s="102"/>
    </row>
    <row r="205" spans="1:2" ht="12.75">
      <c r="A205" s="102"/>
      <c r="B205" s="102"/>
    </row>
    <row r="206" spans="1:2" ht="12.75">
      <c r="A206" s="102"/>
      <c r="B206" s="102"/>
    </row>
    <row r="207" spans="1:2" ht="12.75">
      <c r="A207" s="102"/>
      <c r="B207" s="102"/>
    </row>
    <row r="208" spans="1:2" ht="12.75">
      <c r="A208" s="102"/>
      <c r="B208" s="102"/>
    </row>
    <row r="209" spans="1:2" ht="12.75">
      <c r="A209" s="102"/>
      <c r="B209" s="102"/>
    </row>
    <row r="210" spans="1:2" ht="12.75">
      <c r="A210" s="102"/>
      <c r="B210" s="102"/>
    </row>
    <row r="211" spans="1:2" ht="12.75">
      <c r="A211" s="102"/>
      <c r="B211" s="102"/>
    </row>
    <row r="212" spans="1:2" ht="12.75">
      <c r="A212" s="102"/>
      <c r="B212" s="102"/>
    </row>
    <row r="213" spans="1:2" ht="12.75">
      <c r="A213" s="102"/>
      <c r="B213" s="102"/>
    </row>
    <row r="214" spans="1:2" ht="12.75">
      <c r="A214" s="102"/>
      <c r="B214" s="102"/>
    </row>
    <row r="215" spans="1:2" ht="12.75">
      <c r="A215" s="102"/>
      <c r="B215" s="102"/>
    </row>
    <row r="216" spans="1:2" ht="12.75">
      <c r="A216" s="102"/>
      <c r="B216" s="102"/>
    </row>
    <row r="217" spans="1:2" ht="12.75">
      <c r="A217" s="102"/>
      <c r="B217" s="102"/>
    </row>
    <row r="218" spans="1:2" ht="12.75">
      <c r="A218" s="102"/>
      <c r="B218" s="102"/>
    </row>
    <row r="219" spans="1:2" ht="12.75">
      <c r="A219" s="102"/>
      <c r="B219" s="102"/>
    </row>
    <row r="220" spans="1:2" ht="12.75">
      <c r="A220" s="102"/>
      <c r="B220" s="102"/>
    </row>
    <row r="221" spans="1:2" ht="12.75">
      <c r="A221" s="102"/>
      <c r="B221" s="102"/>
    </row>
    <row r="222" spans="1:2" ht="12.75">
      <c r="A222" s="102"/>
      <c r="B222" s="102"/>
    </row>
    <row r="223" spans="1:2" ht="12.75">
      <c r="A223" s="102"/>
      <c r="B223" s="102"/>
    </row>
    <row r="224" spans="1:2" ht="12.75">
      <c r="A224" s="102"/>
      <c r="B224" s="102"/>
    </row>
    <row r="225" spans="1:2" ht="12.75">
      <c r="A225" s="102"/>
      <c r="B225" s="102"/>
    </row>
    <row r="226" spans="1:2" ht="12.75">
      <c r="A226" s="102"/>
      <c r="B226" s="102"/>
    </row>
    <row r="227" spans="1:2" ht="12.75">
      <c r="A227" s="102"/>
      <c r="B227" s="102"/>
    </row>
    <row r="228" spans="1:2" ht="12.75">
      <c r="A228" s="102"/>
      <c r="B228" s="102"/>
    </row>
    <row r="229" spans="1:2" ht="12.75">
      <c r="A229" s="102"/>
      <c r="B229" s="102"/>
    </row>
    <row r="230" spans="1:2" ht="12.75">
      <c r="A230" s="102"/>
      <c r="B230" s="102"/>
    </row>
    <row r="231" spans="1:2" ht="12.75">
      <c r="A231" s="102"/>
      <c r="B231" s="102"/>
    </row>
    <row r="232" spans="1:2" ht="12.75">
      <c r="A232" s="102"/>
      <c r="B232" s="102"/>
    </row>
    <row r="233" spans="1:2" ht="12.75">
      <c r="A233" s="102"/>
      <c r="B233" s="102"/>
    </row>
    <row r="234" spans="1:2" ht="12.75">
      <c r="A234" s="102"/>
      <c r="B234" s="102"/>
    </row>
    <row r="235" spans="1:2" ht="12.75">
      <c r="A235" s="102"/>
      <c r="B235" s="102"/>
    </row>
    <row r="236" spans="1:2" ht="12.75">
      <c r="A236" s="102"/>
      <c r="B236" s="102"/>
    </row>
    <row r="237" spans="1:2" ht="12.75">
      <c r="A237" s="102"/>
      <c r="B237" s="102"/>
    </row>
    <row r="238" spans="1:2" ht="12.75">
      <c r="A238" s="102"/>
      <c r="B238" s="102"/>
    </row>
  </sheetData>
  <sheetProtection sheet="1" objects="1" scenarios="1"/>
  <mergeCells count="4">
    <mergeCell ref="A2:A3"/>
    <mergeCell ref="B2:B3"/>
    <mergeCell ref="D2:E4"/>
    <mergeCell ref="H23:J24"/>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tabColor indexed="11"/>
  </sheetPr>
  <dimension ref="B2:X29"/>
  <sheetViews>
    <sheetView showGridLines="0" showRowColHeaders="0" zoomScale="120" zoomScaleNormal="120" workbookViewId="0" topLeftCell="A1">
      <selection activeCell="H3" sqref="H3"/>
    </sheetView>
  </sheetViews>
  <sheetFormatPr defaultColWidth="9.140625" defaultRowHeight="12.75"/>
  <cols>
    <col min="1" max="1" width="3.7109375" style="0" customWidth="1"/>
    <col min="2" max="2" width="10.7109375" style="0" customWidth="1"/>
    <col min="5" max="5" width="3.7109375" style="0" customWidth="1"/>
    <col min="8" max="8" width="8.7109375" style="0" customWidth="1"/>
    <col min="12" max="12" width="9.7109375" style="0" customWidth="1"/>
    <col min="15" max="15" width="9.140625" style="49" customWidth="1"/>
    <col min="16" max="16" width="9.140625" style="58" customWidth="1"/>
    <col min="17" max="26" width="9.140625" style="49" customWidth="1"/>
    <col min="27" max="27" width="9.140625" style="5" customWidth="1"/>
  </cols>
  <sheetData>
    <row r="2" spans="2:4" ht="12.75" customHeight="1">
      <c r="B2" s="212" t="s">
        <v>73</v>
      </c>
      <c r="C2" s="213"/>
      <c r="D2" s="213"/>
    </row>
    <row r="3" spans="2:22" ht="12.75">
      <c r="B3" s="213"/>
      <c r="C3" s="213"/>
      <c r="D3" s="213"/>
      <c r="Q3" s="58" t="s">
        <v>54</v>
      </c>
      <c r="R3" s="49" t="s">
        <v>55</v>
      </c>
      <c r="S3" s="49" t="s">
        <v>56</v>
      </c>
      <c r="T3" s="49" t="s">
        <v>57</v>
      </c>
      <c r="U3" s="49" t="s">
        <v>58</v>
      </c>
      <c r="V3" s="49" t="s">
        <v>59</v>
      </c>
    </row>
    <row r="4" spans="2:24" ht="12.75" customHeight="1">
      <c r="B4" s="213"/>
      <c r="C4" s="213"/>
      <c r="D4" s="213"/>
      <c r="F4" s="205" t="s">
        <v>74</v>
      </c>
      <c r="G4" s="205"/>
      <c r="H4" s="205"/>
      <c r="I4" s="205"/>
      <c r="J4" s="205"/>
      <c r="K4" s="205"/>
      <c r="L4" s="205"/>
      <c r="M4" s="205"/>
      <c r="P4" s="58" t="s">
        <v>60</v>
      </c>
      <c r="Q4" s="49">
        <f>STDEV(R4:R43)</f>
        <v>3.1959954240323105</v>
      </c>
      <c r="R4" s="49">
        <v>13.526521733900639</v>
      </c>
      <c r="S4" s="49">
        <v>12.62512142287297</v>
      </c>
      <c r="T4" s="49">
        <f aca="true" t="shared" si="0" ref="T4:T23">(S4-Q$7)*SQRT((1-D$19^2))+U4</f>
        <v>12.62512142287297</v>
      </c>
      <c r="U4" s="49">
        <f aca="true" t="shared" si="1" ref="U4:U23">W$5+X$5*R4</f>
        <v>10.385897159140919</v>
      </c>
      <c r="V4" s="49">
        <f aca="true" t="shared" si="2" ref="V4:V23">T4-U4</f>
        <v>2.2392242637320514</v>
      </c>
      <c r="W4" s="49" t="s">
        <v>61</v>
      </c>
      <c r="X4" s="49" t="s">
        <v>62</v>
      </c>
    </row>
    <row r="5" spans="2:24" ht="12.75">
      <c r="B5" s="213"/>
      <c r="C5" s="213"/>
      <c r="D5" s="213"/>
      <c r="F5" s="205"/>
      <c r="G5" s="205"/>
      <c r="H5" s="205"/>
      <c r="I5" s="205"/>
      <c r="J5" s="205"/>
      <c r="K5" s="205"/>
      <c r="L5" s="205"/>
      <c r="M5" s="205"/>
      <c r="P5" s="58" t="s">
        <v>63</v>
      </c>
      <c r="Q5" s="49">
        <f>STDEV(S4:S43)</f>
        <v>2.597953143665424</v>
      </c>
      <c r="R5" s="49">
        <v>7.297361486213117</v>
      </c>
      <c r="S5" s="49">
        <v>10.233958194213038</v>
      </c>
      <c r="T5" s="49">
        <f t="shared" si="0"/>
        <v>10.233958194213038</v>
      </c>
      <c r="U5" s="49">
        <f t="shared" si="1"/>
        <v>10.385897159140919</v>
      </c>
      <c r="V5" s="49">
        <f t="shared" si="2"/>
        <v>-0.15193896492788106</v>
      </c>
      <c r="W5" s="49">
        <f>Q7-X5*Q6</f>
        <v>10.385897159140919</v>
      </c>
      <c r="X5" s="49">
        <f>D19*Q5/Q4</f>
        <v>0</v>
      </c>
    </row>
    <row r="6" spans="2:24" ht="20.25" customHeight="1">
      <c r="B6" s="213"/>
      <c r="C6" s="213"/>
      <c r="D6" s="213"/>
      <c r="F6" s="205"/>
      <c r="G6" s="205"/>
      <c r="H6" s="205"/>
      <c r="I6" s="205"/>
      <c r="J6" s="205"/>
      <c r="K6" s="205"/>
      <c r="L6" s="205"/>
      <c r="M6" s="205"/>
      <c r="N6" s="61"/>
      <c r="P6" s="62" t="s">
        <v>64</v>
      </c>
      <c r="Q6" s="49">
        <f>AVERAGE(R4:R43)</f>
        <v>9.787698957897236</v>
      </c>
      <c r="R6" s="49">
        <v>6.411288414989673</v>
      </c>
      <c r="S6" s="49">
        <v>11.375061262074858</v>
      </c>
      <c r="T6" s="49">
        <f t="shared" si="0"/>
        <v>11.375061262074858</v>
      </c>
      <c r="U6" s="49">
        <f t="shared" si="1"/>
        <v>10.385897159140919</v>
      </c>
      <c r="V6" s="49">
        <f t="shared" si="2"/>
        <v>0.9891641029339393</v>
      </c>
      <c r="W6" s="49">
        <v>0</v>
      </c>
      <c r="X6" s="49">
        <v>20</v>
      </c>
    </row>
    <row r="7" spans="2:22" ht="20.25" customHeight="1">
      <c r="B7" s="213"/>
      <c r="C7" s="213"/>
      <c r="D7" s="213"/>
      <c r="E7" s="63"/>
      <c r="J7" s="61"/>
      <c r="K7" s="61"/>
      <c r="L7" s="61"/>
      <c r="M7" s="61"/>
      <c r="N7" s="61"/>
      <c r="P7" s="62" t="s">
        <v>65</v>
      </c>
      <c r="Q7" s="49">
        <f>AVERAGE(S4:S43)</f>
        <v>10.385897159140919</v>
      </c>
      <c r="R7" s="49">
        <v>5.016428824832635</v>
      </c>
      <c r="S7" s="49">
        <v>14.8838</v>
      </c>
      <c r="T7" s="49">
        <f t="shared" si="0"/>
        <v>14.8838</v>
      </c>
      <c r="U7" s="49">
        <f t="shared" si="1"/>
        <v>10.385897159140919</v>
      </c>
      <c r="V7" s="49">
        <f t="shared" si="2"/>
        <v>4.497902840859082</v>
      </c>
    </row>
    <row r="8" spans="2:24" ht="12.75">
      <c r="B8" s="213"/>
      <c r="C8" s="213"/>
      <c r="D8" s="213"/>
      <c r="J8" s="64"/>
      <c r="K8" s="64"/>
      <c r="L8" s="64"/>
      <c r="M8" s="64"/>
      <c r="N8" s="64"/>
      <c r="P8" s="62"/>
      <c r="R8" s="49">
        <v>7.135157332931855</v>
      </c>
      <c r="S8" s="49">
        <v>10.344875429801498</v>
      </c>
      <c r="T8" s="49">
        <f t="shared" si="0"/>
        <v>10.344875429801498</v>
      </c>
      <c r="U8" s="49">
        <f t="shared" si="1"/>
        <v>10.385897159140919</v>
      </c>
      <c r="V8" s="49">
        <f t="shared" si="2"/>
        <v>-0.0410217293394215</v>
      </c>
      <c r="W8" s="49">
        <f>W5+X5*W6</f>
        <v>10.385897159140919</v>
      </c>
      <c r="X8" s="49">
        <f>W5+X5*X6</f>
        <v>10.385897159140919</v>
      </c>
    </row>
    <row r="9" spans="2:22" ht="12.75">
      <c r="B9" s="213"/>
      <c r="C9" s="213"/>
      <c r="D9" s="213"/>
      <c r="E9" s="65"/>
      <c r="F9" s="66"/>
      <c r="R9" s="49">
        <v>6.47494088017675</v>
      </c>
      <c r="S9" s="49">
        <v>7.868378150370148</v>
      </c>
      <c r="T9" s="49">
        <f t="shared" si="0"/>
        <v>7.868378150370148</v>
      </c>
      <c r="U9" s="49">
        <f t="shared" si="1"/>
        <v>10.385897159140919</v>
      </c>
      <c r="V9" s="49">
        <f t="shared" si="2"/>
        <v>-2.517519008770771</v>
      </c>
    </row>
    <row r="10" spans="2:22" ht="12.75">
      <c r="B10" s="214"/>
      <c r="C10" s="214"/>
      <c r="D10" s="214"/>
      <c r="K10" s="67"/>
      <c r="L10" s="67"/>
      <c r="M10" s="67"/>
      <c r="R10" s="49">
        <v>9.759404955932474</v>
      </c>
      <c r="S10" s="49">
        <v>12.51283250808758</v>
      </c>
      <c r="T10" s="49">
        <f t="shared" si="0"/>
        <v>12.51283250808758</v>
      </c>
      <c r="U10" s="49">
        <f t="shared" si="1"/>
        <v>10.385897159140919</v>
      </c>
      <c r="V10" s="49">
        <f t="shared" si="2"/>
        <v>2.1269353489466614</v>
      </c>
    </row>
    <row r="11" spans="2:22" ht="12.75" customHeight="1">
      <c r="B11" s="214"/>
      <c r="C11" s="214"/>
      <c r="D11" s="214"/>
      <c r="E11" s="68"/>
      <c r="F11" s="68"/>
      <c r="G11" s="69"/>
      <c r="H11" s="70"/>
      <c r="K11" s="67"/>
      <c r="L11" s="67"/>
      <c r="M11" s="67"/>
      <c r="R11" s="49">
        <v>9.607093913942453</v>
      </c>
      <c r="S11" s="49">
        <v>5.960026391202671</v>
      </c>
      <c r="T11" s="49">
        <f t="shared" si="0"/>
        <v>5.960026391202671</v>
      </c>
      <c r="U11" s="49">
        <f t="shared" si="1"/>
        <v>10.385897159140919</v>
      </c>
      <c r="V11" s="49">
        <f t="shared" si="2"/>
        <v>-4.425870767938248</v>
      </c>
    </row>
    <row r="12" spans="2:22" ht="12.75">
      <c r="B12" s="214"/>
      <c r="C12" s="214"/>
      <c r="D12" s="214"/>
      <c r="E12" s="1"/>
      <c r="F12" s="1"/>
      <c r="G12" s="1"/>
      <c r="R12" s="49">
        <v>13.110647458187533</v>
      </c>
      <c r="S12" s="49">
        <v>6.45078</v>
      </c>
      <c r="T12" s="49">
        <f t="shared" si="0"/>
        <v>6.45078</v>
      </c>
      <c r="U12" s="49">
        <f t="shared" si="1"/>
        <v>10.385897159140919</v>
      </c>
      <c r="V12" s="49">
        <f t="shared" si="2"/>
        <v>-3.935117159140919</v>
      </c>
    </row>
    <row r="13" spans="6:22" ht="12.75">
      <c r="F13" s="72"/>
      <c r="G13" s="69"/>
      <c r="I13" s="73">
        <v>3</v>
      </c>
      <c r="R13" s="49">
        <v>11.101108311212874</v>
      </c>
      <c r="S13" s="49">
        <v>6.635785168057507</v>
      </c>
      <c r="T13" s="49">
        <f t="shared" si="0"/>
        <v>6.635785168057507</v>
      </c>
      <c r="U13" s="49">
        <f t="shared" si="1"/>
        <v>10.385897159140919</v>
      </c>
      <c r="V13" s="49">
        <f t="shared" si="2"/>
        <v>-3.750111991083412</v>
      </c>
    </row>
    <row r="14" spans="3:22" ht="12.75">
      <c r="C14" s="71" t="s">
        <v>66</v>
      </c>
      <c r="D14" s="60">
        <f>AVERAGE(T4:T43)</f>
        <v>10.385897159140919</v>
      </c>
      <c r="F14" s="1"/>
      <c r="G14" s="1"/>
      <c r="I14" s="73">
        <v>29</v>
      </c>
      <c r="R14" s="49">
        <v>9.64414455411119</v>
      </c>
      <c r="S14" s="49">
        <v>9.243592496079813</v>
      </c>
      <c r="T14" s="49">
        <f t="shared" si="0"/>
        <v>9.243592496079813</v>
      </c>
      <c r="U14" s="49">
        <f t="shared" si="1"/>
        <v>10.385897159140919</v>
      </c>
      <c r="V14" s="49">
        <f t="shared" si="2"/>
        <v>-1.1423046630611058</v>
      </c>
    </row>
    <row r="15" spans="3:22" ht="12.75">
      <c r="C15" s="71" t="s">
        <v>67</v>
      </c>
      <c r="D15" s="60">
        <f>STDEV(T4:T43)</f>
        <v>2.597953143665424</v>
      </c>
      <c r="F15" s="74"/>
      <c r="G15" s="1"/>
      <c r="I15" s="73">
        <v>25</v>
      </c>
      <c r="R15" s="49">
        <v>11.381497799298625</v>
      </c>
      <c r="S15" s="49">
        <v>8.007015093650372</v>
      </c>
      <c r="T15" s="49">
        <f t="shared" si="0"/>
        <v>8.007015093650372</v>
      </c>
      <c r="U15" s="49">
        <f t="shared" si="1"/>
        <v>10.385897159140919</v>
      </c>
      <c r="V15" s="49">
        <f t="shared" si="2"/>
        <v>-2.378882065490547</v>
      </c>
    </row>
    <row r="16" spans="3:22" ht="12.75">
      <c r="C16" s="71" t="s">
        <v>68</v>
      </c>
      <c r="D16" s="60">
        <f>STDEV(V4:V43)</f>
        <v>2.597953143665425</v>
      </c>
      <c r="F16" s="74"/>
      <c r="G16" s="70"/>
      <c r="R16" s="49">
        <v>14.639293756219288</v>
      </c>
      <c r="S16" s="49">
        <v>9.923015609613442</v>
      </c>
      <c r="T16" s="49">
        <f t="shared" si="0"/>
        <v>9.923015609613442</v>
      </c>
      <c r="U16" s="49">
        <f t="shared" si="1"/>
        <v>10.385897159140919</v>
      </c>
      <c r="V16" s="49">
        <f t="shared" si="2"/>
        <v>-0.4628815495274772</v>
      </c>
    </row>
    <row r="17" spans="6:22" ht="12.75">
      <c r="F17" s="75"/>
      <c r="G17" s="75"/>
      <c r="R17" s="49">
        <v>12.63283981070418</v>
      </c>
      <c r="S17" s="49">
        <v>12.803399250664418</v>
      </c>
      <c r="T17" s="49">
        <f t="shared" si="0"/>
        <v>12.803399250664418</v>
      </c>
      <c r="U17" s="49">
        <f t="shared" si="1"/>
        <v>10.385897159140919</v>
      </c>
      <c r="V17" s="49">
        <f t="shared" si="2"/>
        <v>2.417502091523499</v>
      </c>
    </row>
    <row r="18" spans="6:22" ht="12.75" customHeight="1">
      <c r="F18" s="75"/>
      <c r="G18" s="75"/>
      <c r="R18" s="49">
        <v>6.2897675853323145</v>
      </c>
      <c r="S18" s="49">
        <v>11.915635503225193</v>
      </c>
      <c r="T18" s="49">
        <f t="shared" si="0"/>
        <v>11.915635503225193</v>
      </c>
      <c r="U18" s="49">
        <f t="shared" si="1"/>
        <v>10.385897159140919</v>
      </c>
      <c r="V18" s="49">
        <f t="shared" si="2"/>
        <v>1.529738344084274</v>
      </c>
    </row>
    <row r="19" spans="3:22" ht="12.75">
      <c r="C19" s="71" t="s">
        <v>69</v>
      </c>
      <c r="D19" s="76">
        <f>-(E19-50)/50</f>
        <v>0</v>
      </c>
      <c r="E19" s="77">
        <v>50</v>
      </c>
      <c r="F19" s="75"/>
      <c r="G19" s="75"/>
      <c r="R19" s="49">
        <v>7.579833959319872</v>
      </c>
      <c r="S19" s="49">
        <v>8.717488552290623</v>
      </c>
      <c r="T19" s="49">
        <f t="shared" si="0"/>
        <v>8.717488552290623</v>
      </c>
      <c r="U19" s="49">
        <f t="shared" si="1"/>
        <v>10.385897159140919</v>
      </c>
      <c r="V19" s="49">
        <f t="shared" si="2"/>
        <v>-1.6684086068502957</v>
      </c>
    </row>
    <row r="20" spans="3:22" ht="12.75">
      <c r="C20" s="63"/>
      <c r="D20" s="63"/>
      <c r="E20" s="53"/>
      <c r="F20" s="78"/>
      <c r="G20" s="78"/>
      <c r="R20" s="49">
        <v>12.242332333915058</v>
      </c>
      <c r="S20" s="49">
        <v>10.658046441900078</v>
      </c>
      <c r="T20" s="49">
        <f t="shared" si="0"/>
        <v>10.658046441900078</v>
      </c>
      <c r="U20" s="49">
        <f t="shared" si="1"/>
        <v>10.385897159140919</v>
      </c>
      <c r="V20" s="49">
        <f t="shared" si="2"/>
        <v>0.27214928275915895</v>
      </c>
    </row>
    <row r="21" spans="3:22" ht="12.75">
      <c r="C21" s="1"/>
      <c r="D21" s="75"/>
      <c r="E21" s="75"/>
      <c r="F21" s="1"/>
      <c r="G21" s="1"/>
      <c r="R21" s="49">
        <v>14.854134967028745</v>
      </c>
      <c r="S21" s="49">
        <v>13.296518467707692</v>
      </c>
      <c r="T21" s="49">
        <f t="shared" si="0"/>
        <v>13.296518467707692</v>
      </c>
      <c r="U21" s="49">
        <f t="shared" si="1"/>
        <v>10.385897159140919</v>
      </c>
      <c r="V21" s="49">
        <f t="shared" si="2"/>
        <v>2.910621308566773</v>
      </c>
    </row>
    <row r="22" spans="3:22" ht="14.25">
      <c r="C22" s="65" t="s">
        <v>72</v>
      </c>
      <c r="D22" s="79">
        <f>D19^2</f>
        <v>0</v>
      </c>
      <c r="E22" s="209"/>
      <c r="F22" s="209"/>
      <c r="G22" s="1"/>
      <c r="R22" s="49">
        <v>11.896341079695414</v>
      </c>
      <c r="S22" s="49">
        <v>14.276756908083968</v>
      </c>
      <c r="T22" s="49">
        <f t="shared" si="0"/>
        <v>14.276756908083968</v>
      </c>
      <c r="U22" s="49">
        <f t="shared" si="1"/>
        <v>10.385897159140919</v>
      </c>
      <c r="V22" s="49">
        <f t="shared" si="2"/>
        <v>3.8908597489430488</v>
      </c>
    </row>
    <row r="23" spans="3:22" ht="12.75">
      <c r="C23" s="1"/>
      <c r="D23" s="1"/>
      <c r="E23" s="209"/>
      <c r="F23" s="209"/>
      <c r="G23" s="70"/>
      <c r="P23" s="58">
        <f>CORREL(T4:T23,R4:R23)</f>
        <v>-0.0003391615222991209</v>
      </c>
      <c r="R23" s="49">
        <v>5.15384</v>
      </c>
      <c r="S23" s="49">
        <v>9.985856332922491</v>
      </c>
      <c r="T23" s="49">
        <f t="shared" si="0"/>
        <v>9.985856332922491</v>
      </c>
      <c r="U23" s="49">
        <f t="shared" si="1"/>
        <v>10.385897159140919</v>
      </c>
      <c r="V23" s="49">
        <f t="shared" si="2"/>
        <v>-0.4000408262184276</v>
      </c>
    </row>
    <row r="24" spans="3:7" ht="12.75">
      <c r="C24" s="1"/>
      <c r="D24" s="210"/>
      <c r="E24" s="210"/>
      <c r="F24" s="210"/>
      <c r="G24" s="210"/>
    </row>
    <row r="25" spans="3:7" ht="12.75">
      <c r="C25" s="1"/>
      <c r="D25" s="210"/>
      <c r="E25" s="210"/>
      <c r="F25" s="210"/>
      <c r="G25" s="210"/>
    </row>
    <row r="26" spans="3:7" ht="12.75">
      <c r="C26" s="1"/>
      <c r="D26" s="1"/>
      <c r="E26" s="1"/>
      <c r="F26" s="1"/>
      <c r="G26" s="1"/>
    </row>
    <row r="27" spans="3:7" ht="12.75">
      <c r="C27" s="211"/>
      <c r="D27" s="211"/>
      <c r="E27" s="211"/>
      <c r="F27" s="53"/>
      <c r="G27" s="53"/>
    </row>
    <row r="28" spans="3:7" ht="12.75">
      <c r="C28" s="208"/>
      <c r="D28" s="208"/>
      <c r="E28" s="208"/>
      <c r="F28" s="69"/>
      <c r="G28" s="69"/>
    </row>
    <row r="29" spans="3:11" ht="12.75">
      <c r="C29" s="208"/>
      <c r="D29" s="208"/>
      <c r="E29" s="208"/>
      <c r="F29" s="69"/>
      <c r="G29" s="69" t="s">
        <v>70</v>
      </c>
      <c r="H29" s="60">
        <f>Q6</f>
        <v>9.787698957897236</v>
      </c>
      <c r="J29" s="71" t="s">
        <v>71</v>
      </c>
      <c r="K29" s="60">
        <f>Q4</f>
        <v>3.1959954240323105</v>
      </c>
    </row>
  </sheetData>
  <sheetProtection sheet="1" objects="1" scenarios="1"/>
  <mergeCells count="7">
    <mergeCell ref="F4:M6"/>
    <mergeCell ref="C29:E29"/>
    <mergeCell ref="E22:F23"/>
    <mergeCell ref="D24:G25"/>
    <mergeCell ref="C28:E28"/>
    <mergeCell ref="C27:E27"/>
    <mergeCell ref="B2:D12"/>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2"/>
  <dimension ref="A1:Z202"/>
  <sheetViews>
    <sheetView showGridLines="0" showRowColHeaders="0" zoomScale="110" zoomScaleNormal="110" workbookViewId="0" topLeftCell="A1">
      <selection activeCell="A1" sqref="A1"/>
    </sheetView>
  </sheetViews>
  <sheetFormatPr defaultColWidth="9.140625" defaultRowHeight="12.75"/>
  <cols>
    <col min="4" max="4" width="9.421875" style="0" bestFit="1" customWidth="1"/>
    <col min="8" max="8" width="9.421875" style="0" bestFit="1" customWidth="1"/>
    <col min="12" max="12" width="9.421875" style="0" bestFit="1" customWidth="1"/>
    <col min="14" max="14" width="9.421875" style="150" bestFit="1" customWidth="1"/>
    <col min="15" max="15" width="9.57421875" style="149" bestFit="1" customWidth="1"/>
    <col min="16" max="17" width="9.57421875" style="150" bestFit="1" customWidth="1"/>
    <col min="18" max="18" width="13.28125" style="150" bestFit="1" customWidth="1"/>
    <col min="19" max="19" width="12.57421875" style="150" bestFit="1" customWidth="1"/>
    <col min="20" max="20" width="9.28125" style="149" bestFit="1" customWidth="1"/>
    <col min="21" max="22" width="9.28125" style="150" bestFit="1" customWidth="1"/>
    <col min="23" max="23" width="12.7109375" style="150" bestFit="1" customWidth="1"/>
    <col min="24" max="24" width="12.8515625" style="150" bestFit="1" customWidth="1"/>
    <col min="25" max="26" width="9.140625" style="150" customWidth="1"/>
  </cols>
  <sheetData>
    <row r="1" spans="13:26" ht="12.75">
      <c r="M1" s="49" t="s">
        <v>29</v>
      </c>
      <c r="N1" s="5">
        <f>main!C24</f>
        <v>2</v>
      </c>
      <c r="O1" s="146" t="s">
        <v>33</v>
      </c>
      <c r="P1" s="5">
        <f>main!$C$12</f>
        <v>10</v>
      </c>
      <c r="Q1" s="147" t="s">
        <v>30</v>
      </c>
      <c r="R1" s="147" t="s">
        <v>31</v>
      </c>
      <c r="S1" s="147" t="s">
        <v>32</v>
      </c>
      <c r="T1" s="35"/>
      <c r="U1" s="36"/>
      <c r="V1" s="147" t="s">
        <v>30</v>
      </c>
      <c r="W1" s="147" t="s">
        <v>31</v>
      </c>
      <c r="X1" s="147" t="s">
        <v>32</v>
      </c>
      <c r="Y1" s="36"/>
      <c r="Z1" s="36"/>
    </row>
    <row r="2" spans="13:26" ht="12.75">
      <c r="M2" s="49" t="s">
        <v>35</v>
      </c>
      <c r="N2" s="36">
        <f>main!C27</f>
        <v>1.1</v>
      </c>
      <c r="O2" s="35" t="s">
        <v>28</v>
      </c>
      <c r="P2" s="36">
        <f>(1-main!C14)*main!C12</f>
        <v>5</v>
      </c>
      <c r="Q2" s="36" t="s">
        <v>34</v>
      </c>
      <c r="R2" s="36">
        <v>0</v>
      </c>
      <c r="S2" s="36">
        <f>(P2-P1)*P14</f>
        <v>-5.158137150308004</v>
      </c>
      <c r="T2" s="35" t="s">
        <v>28</v>
      </c>
      <c r="U2" s="36">
        <f>main!C12*(1+main!C14)</f>
        <v>15</v>
      </c>
      <c r="V2" s="36" t="s">
        <v>34</v>
      </c>
      <c r="W2" s="36">
        <v>0</v>
      </c>
      <c r="X2" s="36">
        <f>(U2-P1)*U14</f>
        <v>5.124396104129113</v>
      </c>
      <c r="Y2" s="36"/>
      <c r="Z2" s="36"/>
    </row>
    <row r="3" spans="2:26" ht="12.75">
      <c r="B3" s="215" t="s">
        <v>46</v>
      </c>
      <c r="C3" s="215"/>
      <c r="D3" s="215"/>
      <c r="E3" s="215"/>
      <c r="F3" s="215"/>
      <c r="G3" s="215"/>
      <c r="H3" s="215"/>
      <c r="I3" s="215"/>
      <c r="J3" s="215"/>
      <c r="K3" s="215"/>
      <c r="L3" s="215"/>
      <c r="M3" s="215"/>
      <c r="N3" s="36"/>
      <c r="O3" s="35" t="s">
        <v>9</v>
      </c>
      <c r="P3" s="36">
        <f>main!P3</f>
        <v>25</v>
      </c>
      <c r="Q3" s="36">
        <f>P11</f>
        <v>-12</v>
      </c>
      <c r="R3" s="36">
        <f>NORMDIST(Q3,0,$P$10,0)</f>
        <v>7.833126644364346E-08</v>
      </c>
      <c r="S3" s="36">
        <f>NORMDIST(Q3,$S$2,$P$10,0)</f>
        <v>0.0015390247819303776</v>
      </c>
      <c r="T3" s="35" t="s">
        <v>9</v>
      </c>
      <c r="U3" s="36">
        <f>P3</f>
        <v>25</v>
      </c>
      <c r="V3" s="36">
        <f>U11</f>
        <v>-8</v>
      </c>
      <c r="W3" s="36">
        <f>NORMDIST(V3,0,$U$10,0)</f>
        <v>0.0005158836918213689</v>
      </c>
      <c r="X3" s="36">
        <f>NORMDIST(V3,$X$2,$U$10,0)</f>
        <v>2.8488873667158904E-08</v>
      </c>
      <c r="Y3" s="36"/>
      <c r="Z3" s="36"/>
    </row>
    <row r="4" spans="2:26" ht="12.75">
      <c r="B4" s="215"/>
      <c r="C4" s="215"/>
      <c r="D4" s="215"/>
      <c r="E4" s="215"/>
      <c r="F4" s="215"/>
      <c r="G4" s="215"/>
      <c r="H4" s="215"/>
      <c r="I4" s="215"/>
      <c r="J4" s="215"/>
      <c r="K4" s="215"/>
      <c r="L4" s="215"/>
      <c r="M4" s="215"/>
      <c r="N4" s="36"/>
      <c r="O4" s="35" t="s">
        <v>10</v>
      </c>
      <c r="P4" s="36">
        <f>main!P4</f>
        <v>400</v>
      </c>
      <c r="Q4" s="36">
        <f aca="true" t="shared" si="0" ref="Q4:Q67">Q3+$P$13</f>
        <v>-11.904522613065327</v>
      </c>
      <c r="R4" s="36">
        <f aca="true" t="shared" si="1" ref="R4:R67">NORMDIST(Q4,0,$P$10,0)</f>
        <v>9.880009187506473E-08</v>
      </c>
      <c r="S4" s="36">
        <f aca="true" t="shared" si="2" ref="S4:S67">NORMDIST(Q4,$S$2,$P$10,0)</f>
        <v>0.0017561306472834205</v>
      </c>
      <c r="T4" s="35" t="s">
        <v>10</v>
      </c>
      <c r="U4" s="36">
        <f>P4</f>
        <v>400</v>
      </c>
      <c r="V4" s="36">
        <f>V3+$U$13</f>
        <v>-7.894472361809045</v>
      </c>
      <c r="W4" s="36">
        <f aca="true" t="shared" si="3" ref="W4:W67">NORMDIST(V4,0,$U$10,0)</f>
        <v>0.0006005188546764372</v>
      </c>
      <c r="X4" s="36">
        <f aca="true" t="shared" si="4" ref="X4:X67">NORMDIST(V4,$X$2,$U$10,0)</f>
        <v>3.657554965577144E-08</v>
      </c>
      <c r="Y4" s="36"/>
      <c r="Z4" s="36"/>
    </row>
    <row r="5" spans="2:26" ht="12.75">
      <c r="B5" s="50"/>
      <c r="C5" s="50"/>
      <c r="D5" s="50"/>
      <c r="E5" s="50"/>
      <c r="F5" s="50"/>
      <c r="G5" s="50"/>
      <c r="H5" s="50"/>
      <c r="I5" s="50"/>
      <c r="J5" s="50"/>
      <c r="K5" s="50"/>
      <c r="L5" s="50"/>
      <c r="M5" s="50"/>
      <c r="N5" s="36"/>
      <c r="O5" s="35" t="s">
        <v>11</v>
      </c>
      <c r="P5" s="36">
        <f>main!P5</f>
        <v>121</v>
      </c>
      <c r="Q5" s="36">
        <f t="shared" si="0"/>
        <v>-11.809045226130653</v>
      </c>
      <c r="R5" s="36">
        <f t="shared" si="1"/>
        <v>1.2438676069743773E-07</v>
      </c>
      <c r="S5" s="36">
        <f t="shared" si="2"/>
        <v>0.0020001503403441734</v>
      </c>
      <c r="T5" s="35" t="s">
        <v>11</v>
      </c>
      <c r="U5" s="36">
        <f>P5</f>
        <v>121</v>
      </c>
      <c r="V5" s="36">
        <f aca="true" t="shared" si="5" ref="V5:V68">V4+$U$13</f>
        <v>-7.788944723618091</v>
      </c>
      <c r="W5" s="36">
        <f t="shared" si="3"/>
        <v>0.0006976304799129976</v>
      </c>
      <c r="X5" s="36">
        <f t="shared" si="4"/>
        <v>4.6863033140898804E-08</v>
      </c>
      <c r="Y5" s="36"/>
      <c r="Z5" s="36"/>
    </row>
    <row r="6" spans="3:26" ht="13.5" thickBot="1">
      <c r="C6" s="217" t="s">
        <v>43</v>
      </c>
      <c r="D6" s="217"/>
      <c r="E6" s="53"/>
      <c r="G6" s="217" t="s">
        <v>41</v>
      </c>
      <c r="H6" s="217"/>
      <c r="J6" s="1"/>
      <c r="K6" s="217" t="s">
        <v>42</v>
      </c>
      <c r="L6" s="217"/>
      <c r="N6" s="36"/>
      <c r="O6" s="35" t="s">
        <v>12</v>
      </c>
      <c r="P6" s="36">
        <f>IF(N1=0,N2^2,IF(N1=1,main!C28^2,IF(N1=2,(P2*N2)^2,P2*N2)))</f>
        <v>30.25</v>
      </c>
      <c r="Q6" s="36">
        <f t="shared" si="0"/>
        <v>-11.71356783919598</v>
      </c>
      <c r="R6" s="36">
        <f t="shared" si="1"/>
        <v>1.5630957304687244E-07</v>
      </c>
      <c r="S6" s="36">
        <f t="shared" si="2"/>
        <v>0.002273856576277759</v>
      </c>
      <c r="T6" s="35" t="s">
        <v>12</v>
      </c>
      <c r="U6" s="36">
        <f>IF(N1=0,N2^2,IF(N1=1,main!C28^2,IF(N1=2,(U2*N2)^2,U2*N2)))</f>
        <v>272.25</v>
      </c>
      <c r="V6" s="36">
        <f t="shared" si="5"/>
        <v>-7.683417085427136</v>
      </c>
      <c r="W6" s="36">
        <f t="shared" si="3"/>
        <v>0.0008088131378346921</v>
      </c>
      <c r="X6" s="36">
        <f t="shared" si="4"/>
        <v>5.992304553421936E-08</v>
      </c>
      <c r="Y6" s="36"/>
      <c r="Z6" s="36"/>
    </row>
    <row r="7" spans="3:26" ht="12.75">
      <c r="C7" s="52" t="s">
        <v>51</v>
      </c>
      <c r="D7" s="51">
        <f>P2-P1</f>
        <v>-5</v>
      </c>
      <c r="E7" s="53"/>
      <c r="G7" s="52" t="s">
        <v>50</v>
      </c>
      <c r="H7" s="51">
        <v>0</v>
      </c>
      <c r="K7" s="52" t="s">
        <v>51</v>
      </c>
      <c r="L7" s="51">
        <f>U2-P1</f>
        <v>5</v>
      </c>
      <c r="N7" s="36"/>
      <c r="O7" s="35" t="s">
        <v>27</v>
      </c>
      <c r="P7" s="36">
        <f>(P5/P3+P6/P4)^2/((P5/P3)^2/(P3-1)+(P6/P4)^2/(P4-1))</f>
        <v>24.755495836820998</v>
      </c>
      <c r="Q7" s="36">
        <f t="shared" si="0"/>
        <v>-11.618090452261306</v>
      </c>
      <c r="R7" s="36">
        <f t="shared" si="1"/>
        <v>1.960611767649926E-07</v>
      </c>
      <c r="S7" s="36">
        <f t="shared" si="2"/>
        <v>0.0025802281258370243</v>
      </c>
      <c r="T7" s="35" t="s">
        <v>27</v>
      </c>
      <c r="U7" s="36">
        <f>(U5/U3+U6/U4)^2/((U5/U3)^2/(U3-1)+(U6/U4)^2/(U4-1))</f>
        <v>31.18751191750884</v>
      </c>
      <c r="V7" s="36">
        <f t="shared" si="5"/>
        <v>-7.577889447236181</v>
      </c>
      <c r="W7" s="36">
        <f t="shared" si="3"/>
        <v>0.0009358255494911303</v>
      </c>
      <c r="X7" s="36">
        <f t="shared" si="4"/>
        <v>7.646827834155812E-08</v>
      </c>
      <c r="Y7" s="36"/>
      <c r="Z7" s="36"/>
    </row>
    <row r="8" spans="3:26" ht="12.75">
      <c r="C8" s="52" t="s">
        <v>44</v>
      </c>
      <c r="D8" s="54">
        <f>P10</f>
        <v>2.217120880782101</v>
      </c>
      <c r="E8" s="1"/>
      <c r="G8" s="56"/>
      <c r="H8" s="57"/>
      <c r="K8" s="52" t="s">
        <v>44</v>
      </c>
      <c r="L8" s="54">
        <f>U10</f>
        <v>2.349601029962321</v>
      </c>
      <c r="N8" s="36"/>
      <c r="O8" s="35" t="s">
        <v>13</v>
      </c>
      <c r="P8" s="36">
        <f>CHOOSE(main!$J$18,P3-1,P7,P7,(1/P24+1/P25)^2/(1/(P24^2*(P3-1))+1/(P25^2*(P7))))</f>
        <v>24.755495836820998</v>
      </c>
      <c r="Q8" s="36">
        <f t="shared" si="0"/>
        <v>-11.522613065326633</v>
      </c>
      <c r="R8" s="36">
        <f t="shared" si="1"/>
        <v>2.454665068618021E-07</v>
      </c>
      <c r="S8" s="36">
        <f t="shared" si="2"/>
        <v>0.002922454451888849</v>
      </c>
      <c r="T8" s="35" t="s">
        <v>13</v>
      </c>
      <c r="U8" s="36">
        <f>CHOOSE(main!$J$18,U3-1,U7,U7,(1/U24+1/U25)^2/(1/(U24^2*(U3-1))+1/(U25^2*(U7))))</f>
        <v>31.18751191750884</v>
      </c>
      <c r="V8" s="36">
        <f t="shared" si="5"/>
        <v>-7.472361809045227</v>
      </c>
      <c r="W8" s="36">
        <f t="shared" si="3"/>
        <v>0.001080601459109942</v>
      </c>
      <c r="X8" s="36">
        <f t="shared" si="4"/>
        <v>9.738514102873177E-08</v>
      </c>
      <c r="Y8" s="36"/>
      <c r="Z8" s="36"/>
    </row>
    <row r="9" spans="3:26" ht="12.75">
      <c r="C9" s="56"/>
      <c r="D9" s="57"/>
      <c r="K9" s="56"/>
      <c r="L9" s="57"/>
      <c r="N9" s="36"/>
      <c r="O9" s="35" t="s">
        <v>15</v>
      </c>
      <c r="P9" s="36">
        <f>SQRT((1+O22)*P5/P3+O21*P5/P4-IF(main!J18=4,P26,1)*2*main!P8*P5/P3)</f>
        <v>2.267708094089713</v>
      </c>
      <c r="Q9" s="36">
        <f t="shared" si="0"/>
        <v>-11.42713567839196</v>
      </c>
      <c r="R9" s="36">
        <f t="shared" si="1"/>
        <v>3.0675206081952854E-07</v>
      </c>
      <c r="S9" s="36">
        <f t="shared" si="2"/>
        <v>0.0033039388952048696</v>
      </c>
      <c r="T9" s="35" t="s">
        <v>15</v>
      </c>
      <c r="U9" s="36">
        <f>SQRT((1+O22)*P5/P3+O21*P5/P4-IF(main!J18=4,P26,1)*2*main!P8*P5/P3)</f>
        <v>2.267708094089713</v>
      </c>
      <c r="V9" s="36">
        <f t="shared" si="5"/>
        <v>-7.366834170854272</v>
      </c>
      <c r="W9" s="36">
        <f t="shared" si="3"/>
        <v>0.0012452603271751088</v>
      </c>
      <c r="X9" s="36">
        <f t="shared" si="4"/>
        <v>1.237736030771938E-07</v>
      </c>
      <c r="Y9" s="36"/>
      <c r="Z9" s="36"/>
    </row>
    <row r="10" spans="14:26" ht="12.75">
      <c r="N10" s="36"/>
      <c r="O10" s="35" t="s">
        <v>16</v>
      </c>
      <c r="P10" s="36">
        <f>P28</f>
        <v>2.217120880782101</v>
      </c>
      <c r="Q10" s="36">
        <f t="shared" si="0"/>
        <v>-11.331658291457286</v>
      </c>
      <c r="R10" s="36">
        <f t="shared" si="1"/>
        <v>3.8262852630261086E-07</v>
      </c>
      <c r="S10" s="36">
        <f t="shared" si="2"/>
        <v>0.0037283001765347503</v>
      </c>
      <c r="T10" s="35" t="s">
        <v>16</v>
      </c>
      <c r="U10" s="36">
        <f>U28</f>
        <v>2.349601029962321</v>
      </c>
      <c r="V10" s="36">
        <f t="shared" si="5"/>
        <v>-7.261306532663317</v>
      </c>
      <c r="W10" s="36">
        <f t="shared" si="3"/>
        <v>0.0014321176769976698</v>
      </c>
      <c r="X10" s="36">
        <f t="shared" si="4"/>
        <v>1.5699554194938278E-07</v>
      </c>
      <c r="Y10" s="36"/>
      <c r="Z10" s="36"/>
    </row>
    <row r="11" spans="14:26" ht="12.75">
      <c r="N11" s="36"/>
      <c r="O11" s="35" t="s">
        <v>14</v>
      </c>
      <c r="P11" s="36">
        <f>TRUNC(MIN(-3.3*P10,(P2-main!C12)-3.3*P10)-0.5)</f>
        <v>-12</v>
      </c>
      <c r="Q11" s="36">
        <f t="shared" si="0"/>
        <v>-11.236180904522612</v>
      </c>
      <c r="R11" s="36">
        <f t="shared" si="1"/>
        <v>4.7638909374457704E-07</v>
      </c>
      <c r="S11" s="36">
        <f t="shared" si="2"/>
        <v>0.004199371974101552</v>
      </c>
      <c r="T11" s="35" t="s">
        <v>14</v>
      </c>
      <c r="U11" s="36">
        <f>TRUNC(MIN(-3.2*U10,(U2-main!C12)-3.2*U10)-0.5)</f>
        <v>-8</v>
      </c>
      <c r="V11" s="36">
        <f t="shared" si="5"/>
        <v>-7.155778894472363</v>
      </c>
      <c r="W11" s="36">
        <f t="shared" si="3"/>
        <v>0.0016436949068549165</v>
      </c>
      <c r="X11" s="36">
        <f t="shared" si="4"/>
        <v>1.9873326056124731E-07</v>
      </c>
      <c r="Y11" s="36"/>
      <c r="Z11" s="36"/>
    </row>
    <row r="12" spans="14:26" ht="12.75">
      <c r="N12" s="36"/>
      <c r="O12" s="35" t="s">
        <v>3</v>
      </c>
      <c r="P12" s="36">
        <f>TRUNC(MAX((P2-main!C12)+3.3*P10,3.3*P10)+0.5)</f>
        <v>7</v>
      </c>
      <c r="Q12" s="36">
        <f t="shared" si="0"/>
        <v>-11.140703517587939</v>
      </c>
      <c r="R12" s="36">
        <f t="shared" si="1"/>
        <v>5.920261429894734E-07</v>
      </c>
      <c r="S12" s="36">
        <f t="shared" si="2"/>
        <v>0.004721200330532014</v>
      </c>
      <c r="T12" s="35" t="s">
        <v>3</v>
      </c>
      <c r="U12" s="36">
        <f>TRUNC(MAX((U2-main!C12)+3.2*U10,3.2*U10)+0.5)</f>
        <v>13</v>
      </c>
      <c r="V12" s="36">
        <f t="shared" si="5"/>
        <v>-7.050251256281408</v>
      </c>
      <c r="W12" s="36">
        <f t="shared" si="3"/>
        <v>0.0018827283590474586</v>
      </c>
      <c r="X12" s="36">
        <f t="shared" si="4"/>
        <v>2.510601282521326E-07</v>
      </c>
      <c r="Y12" s="36"/>
      <c r="Z12" s="36"/>
    </row>
    <row r="13" spans="14:26" ht="12.75">
      <c r="N13" s="36"/>
      <c r="O13" s="35" t="s">
        <v>4</v>
      </c>
      <c r="P13" s="36">
        <f>(P12-P11)/199</f>
        <v>0.09547738693467336</v>
      </c>
      <c r="Q13" s="36">
        <f t="shared" si="0"/>
        <v>-11.045226130653266</v>
      </c>
      <c r="R13" s="36">
        <f t="shared" si="1"/>
        <v>7.343693942403974E-07</v>
      </c>
      <c r="S13" s="36">
        <f t="shared" si="2"/>
        <v>0.005298038641311528</v>
      </c>
      <c r="T13" s="35" t="s">
        <v>4</v>
      </c>
      <c r="U13" s="36">
        <f>(U12-U11)/199</f>
        <v>0.10552763819095477</v>
      </c>
      <c r="V13" s="36">
        <f t="shared" si="5"/>
        <v>-6.944723618090453</v>
      </c>
      <c r="W13" s="36">
        <f t="shared" si="3"/>
        <v>0.0021521774169500517</v>
      </c>
      <c r="X13" s="36">
        <f t="shared" si="4"/>
        <v>3.1652563267737566E-07</v>
      </c>
      <c r="Y13" s="36"/>
      <c r="Z13" s="36"/>
    </row>
    <row r="14" spans="14:26" ht="12.75">
      <c r="N14" s="36"/>
      <c r="O14" s="35" t="s">
        <v>48</v>
      </c>
      <c r="P14" s="36">
        <f>P30*SQRT(P8/2)*EXP(GAMMALN((P8-1)/2)-GAMMALN((P8/2)))/P30</f>
        <v>1.0316274300616008</v>
      </c>
      <c r="Q14" s="36">
        <f t="shared" si="0"/>
        <v>-10.949748743718592</v>
      </c>
      <c r="R14" s="36">
        <f t="shared" si="1"/>
        <v>9.092490625473012E-07</v>
      </c>
      <c r="S14" s="36">
        <f t="shared" si="2"/>
        <v>0.005934339978582912</v>
      </c>
      <c r="T14" s="35"/>
      <c r="U14" s="36">
        <f>U30*SQRT(U8/2)*EXP(GAMMALN((U8-1)/2)-GAMMALN((U8/2)))/U30</f>
        <v>1.0248792208258226</v>
      </c>
      <c r="V14" s="36">
        <f t="shared" si="5"/>
        <v>-6.839195979899499</v>
      </c>
      <c r="W14" s="36">
        <f t="shared" si="3"/>
        <v>0.0024552313817741067</v>
      </c>
      <c r="X14" s="36">
        <f t="shared" si="4"/>
        <v>3.98257511300742E-07</v>
      </c>
      <c r="Y14" s="36"/>
      <c r="Z14" s="36"/>
    </row>
    <row r="15" spans="14:26" ht="12.75">
      <c r="N15" s="36"/>
      <c r="O15" s="35" t="s">
        <v>49</v>
      </c>
      <c r="P15" s="36">
        <f>SQRT(P8/(P8-2)*(1+P30^2)-P8*P30^2/2*EXP(GAMMALN((P8-1)/2)-GAMMALN(P8/2))^2)</f>
        <v>1.099135048470052</v>
      </c>
      <c r="Q15" s="36">
        <f t="shared" si="0"/>
        <v>-10.854271356783919</v>
      </c>
      <c r="R15" s="36">
        <f t="shared" si="1"/>
        <v>1.1236880553701916E-06</v>
      </c>
      <c r="S15" s="36">
        <f t="shared" si="2"/>
        <v>0.0066347465099234415</v>
      </c>
      <c r="T15" s="35"/>
      <c r="U15" s="36">
        <f>SQRT(U8/(U8-2)*(1+U30^2)-U8*U30^2/2*EXP(GAMMALN((U8-1)/2)-GAMMALN(U8/2))^2)</f>
        <v>1.072703020218776</v>
      </c>
      <c r="V15" s="36">
        <f t="shared" si="5"/>
        <v>-6.733668341708544</v>
      </c>
      <c r="W15" s="36">
        <f t="shared" si="3"/>
        <v>0.002795314862829134</v>
      </c>
      <c r="X15" s="36">
        <f t="shared" si="4"/>
        <v>5.000840652007031E-07</v>
      </c>
      <c r="Y15" s="36"/>
      <c r="Z15" s="36"/>
    </row>
    <row r="16" spans="14:26" ht="12.75">
      <c r="N16" s="36"/>
      <c r="O16" s="35"/>
      <c r="P16" s="36"/>
      <c r="Q16" s="36">
        <f t="shared" si="0"/>
        <v>-10.758793969849245</v>
      </c>
      <c r="R16" s="36">
        <f t="shared" si="1"/>
        <v>1.3861278075773327E-06</v>
      </c>
      <c r="S16" s="36">
        <f t="shared" si="2"/>
        <v>0.00740407578204496</v>
      </c>
      <c r="T16" s="35"/>
      <c r="U16" s="36"/>
      <c r="V16" s="36">
        <f t="shared" si="5"/>
        <v>-6.628140703517589</v>
      </c>
      <c r="W16" s="36">
        <f t="shared" si="3"/>
        <v>0.0031760913991237412</v>
      </c>
      <c r="X16" s="36">
        <f t="shared" si="4"/>
        <v>6.266802498169893E-07</v>
      </c>
      <c r="Y16" s="36"/>
      <c r="Z16" s="36"/>
    </row>
    <row r="17" spans="14:26" ht="12.75">
      <c r="N17" s="36"/>
      <c r="O17" s="35">
        <f>-main!C4*P10</f>
        <v>-4.575912565074734</v>
      </c>
      <c r="P17" s="36">
        <f>MAX(R3:R202)</f>
        <v>0.17992045291592515</v>
      </c>
      <c r="Q17" s="36">
        <f t="shared" si="0"/>
        <v>-10.663316582914572</v>
      </c>
      <c r="R17" s="36">
        <f t="shared" si="1"/>
        <v>1.7066929604253793E-06</v>
      </c>
      <c r="S17" s="36">
        <f t="shared" si="2"/>
        <v>0.00824730365453787</v>
      </c>
      <c r="T17" s="35">
        <f>main!C4*U10</f>
        <v>4.849338152516271</v>
      </c>
      <c r="U17" s="36">
        <f>MAX(W3:W202)</f>
        <v>0.16978528574347637</v>
      </c>
      <c r="V17" s="36">
        <f t="shared" si="5"/>
        <v>-6.5226130653266345</v>
      </c>
      <c r="W17" s="36">
        <f t="shared" si="3"/>
        <v>0.0036014650167786877</v>
      </c>
      <c r="X17" s="36">
        <f t="shared" si="4"/>
        <v>7.837416921699218E-07</v>
      </c>
      <c r="Y17" s="36"/>
      <c r="Z17" s="36"/>
    </row>
    <row r="18" spans="14:26" ht="12.75">
      <c r="N18" s="36"/>
      <c r="O18" s="35">
        <f>O17</f>
        <v>-4.575912565074734</v>
      </c>
      <c r="P18" s="36" t="e">
        <f>main!#REF!</f>
        <v>#REF!</v>
      </c>
      <c r="Q18" s="36">
        <f t="shared" si="0"/>
        <v>-10.567839195979898</v>
      </c>
      <c r="R18" s="36">
        <f t="shared" si="1"/>
        <v>2.0975007629634405E-06</v>
      </c>
      <c r="S18" s="36">
        <f t="shared" si="2"/>
        <v>0.009169543689142974</v>
      </c>
      <c r="T18" s="35">
        <f>T17</f>
        <v>4.849338152516271</v>
      </c>
      <c r="U18" s="36" t="e">
        <f>P18</f>
        <v>#REF!</v>
      </c>
      <c r="V18" s="36">
        <f t="shared" si="5"/>
        <v>-6.41708542713568</v>
      </c>
      <c r="W18" s="36">
        <f t="shared" si="3"/>
        <v>0.004075579416559208</v>
      </c>
      <c r="X18" s="36">
        <f t="shared" si="4"/>
        <v>9.781914070102742E-07</v>
      </c>
      <c r="Y18" s="36"/>
      <c r="Z18" s="36"/>
    </row>
    <row r="19" spans="14:26" ht="12.75">
      <c r="N19" s="36"/>
      <c r="O19" s="35" t="s">
        <v>18</v>
      </c>
      <c r="P19" s="36">
        <f>main!P2</f>
        <v>2</v>
      </c>
      <c r="Q19" s="36">
        <f t="shared" si="0"/>
        <v>-10.472361809045225</v>
      </c>
      <c r="R19" s="36">
        <f t="shared" si="1"/>
        <v>2.573021807576323E-06</v>
      </c>
      <c r="S19" s="36">
        <f t="shared" si="2"/>
        <v>0.010176022825842991</v>
      </c>
      <c r="T19" s="35" t="s">
        <v>18</v>
      </c>
      <c r="U19" s="36">
        <f>P19</f>
        <v>2</v>
      </c>
      <c r="V19" s="36">
        <f t="shared" si="5"/>
        <v>-6.311557788944725</v>
      </c>
      <c r="W19" s="36">
        <f t="shared" si="3"/>
        <v>0.0046028144795143555</v>
      </c>
      <c r="X19" s="36">
        <f t="shared" si="4"/>
        <v>1.2184246800856217E-06</v>
      </c>
      <c r="Y19" s="36"/>
      <c r="Z19" s="36"/>
    </row>
    <row r="20" spans="14:26" ht="12.75">
      <c r="N20" s="36"/>
      <c r="O20" s="35"/>
      <c r="P20" s="36">
        <f>P5/P3</f>
        <v>4.84</v>
      </c>
      <c r="Q20" s="36">
        <f t="shared" si="0"/>
        <v>-10.376884422110551</v>
      </c>
      <c r="R20" s="36">
        <f t="shared" si="1"/>
        <v>3.1504995068349473E-06</v>
      </c>
      <c r="S20" s="36">
        <f t="shared" si="2"/>
        <v>0.011272053208500669</v>
      </c>
      <c r="T20" s="35"/>
      <c r="U20" s="36">
        <f>U5/U3</f>
        <v>4.84</v>
      </c>
      <c r="V20" s="36">
        <f t="shared" si="5"/>
        <v>-6.2060301507537705</v>
      </c>
      <c r="W20" s="36">
        <f t="shared" si="3"/>
        <v>0.005187779776887017</v>
      </c>
      <c r="X20" s="36">
        <f t="shared" si="4"/>
        <v>1.514598359602461E-06</v>
      </c>
      <c r="Y20" s="36"/>
      <c r="Z20" s="36"/>
    </row>
    <row r="21" spans="14:26" ht="12.75">
      <c r="N21" s="36"/>
      <c r="O21" s="35">
        <f>IF(C19=4,P27^2,1)</f>
        <v>1</v>
      </c>
      <c r="P21" s="36">
        <f>P6/P4</f>
        <v>0.075625</v>
      </c>
      <c r="Q21" s="36">
        <f t="shared" si="0"/>
        <v>-10.281407035175878</v>
      </c>
      <c r="R21" s="36">
        <f t="shared" si="1"/>
        <v>3.850436576162259E-06</v>
      </c>
      <c r="S21" s="36">
        <f t="shared" si="2"/>
        <v>0.012463000059925204</v>
      </c>
      <c r="T21" s="35">
        <f>IF(H19=4,U27^2,1)</f>
        <v>1</v>
      </c>
      <c r="U21" s="36">
        <f>U6/U4</f>
        <v>0.680625</v>
      </c>
      <c r="V21" s="36">
        <f t="shared" si="5"/>
        <v>-6.100502512562816</v>
      </c>
      <c r="W21" s="36">
        <f t="shared" si="3"/>
        <v>0.005835304773770824</v>
      </c>
      <c r="X21" s="36">
        <f t="shared" si="4"/>
        <v>1.8789716507455677E-06</v>
      </c>
      <c r="Y21" s="36"/>
      <c r="Z21" s="36"/>
    </row>
    <row r="22" spans="14:26" ht="12.75">
      <c r="N22" s="36"/>
      <c r="O22" s="35">
        <f>IF(C19=4,P26^2,0)</f>
        <v>0</v>
      </c>
      <c r="P22" s="36">
        <f>P6/P3</f>
        <v>1.21</v>
      </c>
      <c r="Q22" s="36">
        <f t="shared" si="0"/>
        <v>-10.185929648241205</v>
      </c>
      <c r="R22" s="36">
        <f t="shared" si="1"/>
        <v>4.69715770442151E-06</v>
      </c>
      <c r="S22" s="36">
        <f t="shared" si="2"/>
        <v>0.013754245549115886</v>
      </c>
      <c r="T22" s="35">
        <f>IF(H19=4,U26^2,0)</f>
        <v>0</v>
      </c>
      <c r="U22" s="36">
        <f>U6/U3</f>
        <v>10.89</v>
      </c>
      <c r="V22" s="36">
        <f t="shared" si="5"/>
        <v>-5.994974874371861</v>
      </c>
      <c r="W22" s="36">
        <f t="shared" si="3"/>
        <v>0.006550425425056816</v>
      </c>
      <c r="X22" s="36">
        <f t="shared" si="4"/>
        <v>2.326306445621758E-06</v>
      </c>
      <c r="Y22" s="36"/>
      <c r="Z22" s="36"/>
    </row>
    <row r="23" spans="14:26" ht="12.75">
      <c r="N23" s="36"/>
      <c r="O23" s="35">
        <f>IF(C19=4,P26,1)</f>
        <v>1</v>
      </c>
      <c r="P23" s="36">
        <f>-2*main!P8*SQRT(P5*P6)/P3</f>
        <v>0</v>
      </c>
      <c r="Q23" s="36">
        <f t="shared" si="0"/>
        <v>-10.090452261306531</v>
      </c>
      <c r="R23" s="36">
        <f t="shared" si="1"/>
        <v>5.719458569150708E-06</v>
      </c>
      <c r="S23" s="36">
        <f t="shared" si="2"/>
        <v>0.015151148641890579</v>
      </c>
      <c r="T23" s="35">
        <f>IF(H19=4,U26,1)</f>
        <v>1</v>
      </c>
      <c r="U23" s="36">
        <f>-2*main!P8*SQRT(U5*U6)/U3</f>
        <v>0</v>
      </c>
      <c r="V23" s="36">
        <f t="shared" si="5"/>
        <v>-5.8894472361809065</v>
      </c>
      <c r="W23" s="36">
        <f t="shared" si="3"/>
        <v>0.007338366877608234</v>
      </c>
      <c r="X23" s="36">
        <f t="shared" si="4"/>
        <v>2.8743362438762505E-06</v>
      </c>
      <c r="Y23" s="36"/>
      <c r="Z23" s="36"/>
    </row>
    <row r="24" spans="14:26" ht="12.75">
      <c r="N24" s="36"/>
      <c r="O24" s="35" t="s">
        <v>25</v>
      </c>
      <c r="P24" s="36">
        <f>1/((P5+P6-2*main!P8*SQRT(P5*P6))/P3)</f>
        <v>0.1652892561983471</v>
      </c>
      <c r="Q24" s="36">
        <f t="shared" si="0"/>
        <v>-9.994974874371858</v>
      </c>
      <c r="R24" s="36">
        <f t="shared" si="1"/>
        <v>6.951352379660881E-06</v>
      </c>
      <c r="S24" s="36">
        <f t="shared" si="2"/>
        <v>0.016659000979915482</v>
      </c>
      <c r="T24" s="35" t="s">
        <v>25</v>
      </c>
      <c r="U24" s="36">
        <f>1/((U5+U6-2*main!P8*SQRT(U5*U6))/U3)</f>
        <v>0.06357279084551812</v>
      </c>
      <c r="V24" s="36">
        <f t="shared" si="5"/>
        <v>-5.783919597989952</v>
      </c>
      <c r="W24" s="36">
        <f t="shared" si="3"/>
        <v>0.008204522014840657</v>
      </c>
      <c r="X24" s="36">
        <f t="shared" si="4"/>
        <v>3.5443138276253136E-06</v>
      </c>
      <c r="Y24" s="36"/>
      <c r="Z24" s="36"/>
    </row>
    <row r="25" spans="14:26" ht="12.75">
      <c r="N25" s="36"/>
      <c r="O25" s="35" t="s">
        <v>26</v>
      </c>
      <c r="P25" s="36">
        <f>1/(P5/P3+P6/P4)</f>
        <v>0.203432930705658</v>
      </c>
      <c r="Q25" s="36">
        <f t="shared" si="0"/>
        <v>-9.899497487437184</v>
      </c>
      <c r="R25" s="36">
        <f t="shared" si="1"/>
        <v>8.432926202230061E-06</v>
      </c>
      <c r="S25" s="36">
        <f t="shared" si="2"/>
        <v>0.018282978891937716</v>
      </c>
      <c r="T25" s="35" t="s">
        <v>26</v>
      </c>
      <c r="U25" s="36">
        <f>1/(U5/U3+U6/U4)</f>
        <v>0.1811389109022982</v>
      </c>
      <c r="V25" s="36">
        <f t="shared" si="5"/>
        <v>-5.678391959798997</v>
      </c>
      <c r="W25" s="36">
        <f t="shared" si="3"/>
        <v>0.009154425609400075</v>
      </c>
      <c r="X25" s="36">
        <f t="shared" si="4"/>
        <v>4.361649046510772E-06</v>
      </c>
      <c r="Y25" s="36"/>
      <c r="Z25" s="36"/>
    </row>
    <row r="26" spans="14:26" ht="12.75" customHeight="1">
      <c r="N26" s="36"/>
      <c r="O26" s="35" t="s">
        <v>23</v>
      </c>
      <c r="P26" s="36">
        <f>P24/(P24+P25)</f>
        <v>0.4482758620689655</v>
      </c>
      <c r="Q26" s="36">
        <f t="shared" si="0"/>
        <v>-9.80402010050251</v>
      </c>
      <c r="R26" s="36">
        <f t="shared" si="1"/>
        <v>1.0211320427260381E-05</v>
      </c>
      <c r="S26" s="36">
        <f t="shared" si="2"/>
        <v>0.020028091704276867</v>
      </c>
      <c r="T26" s="35" t="s">
        <v>23</v>
      </c>
      <c r="U26" s="36">
        <f>U24/(U24+U25)</f>
        <v>0.2597864768683274</v>
      </c>
      <c r="V26" s="36">
        <f t="shared" si="5"/>
        <v>-5.5728643216080425</v>
      </c>
      <c r="W26" s="36">
        <f t="shared" si="3"/>
        <v>0.010193723886755364</v>
      </c>
      <c r="X26" s="36">
        <f t="shared" si="4"/>
        <v>5.356649340564557E-06</v>
      </c>
      <c r="Y26" s="36"/>
      <c r="Z26" s="36"/>
    </row>
    <row r="27" spans="14:26" ht="12.75">
      <c r="N27" s="36"/>
      <c r="O27" s="35" t="s">
        <v>24</v>
      </c>
      <c r="P27" s="36">
        <f>1-P26</f>
        <v>0.5517241379310345</v>
      </c>
      <c r="Q27" s="36">
        <f t="shared" si="0"/>
        <v>-9.708542713567837</v>
      </c>
      <c r="R27" s="36">
        <f t="shared" si="1"/>
        <v>1.2341845865741736E-05</v>
      </c>
      <c r="S27" s="36">
        <f t="shared" si="2"/>
        <v>0.021899126584706042</v>
      </c>
      <c r="T27" s="35" t="s">
        <v>24</v>
      </c>
      <c r="U27" s="36">
        <f>1-U26</f>
        <v>0.7402135231316727</v>
      </c>
      <c r="V27" s="36">
        <f t="shared" si="5"/>
        <v>-5.467336683417088</v>
      </c>
      <c r="W27" s="36">
        <f t="shared" si="3"/>
        <v>0.011328139347464745</v>
      </c>
      <c r="X27" s="36">
        <f t="shared" si="4"/>
        <v>6.565376973380936E-06</v>
      </c>
      <c r="Y27" s="36"/>
      <c r="Z27" s="36"/>
    </row>
    <row r="28" spans="1:24" ht="12.75" customHeight="1">
      <c r="A28" s="55"/>
      <c r="B28" s="218" t="s">
        <v>47</v>
      </c>
      <c r="C28" s="219"/>
      <c r="D28" s="219"/>
      <c r="E28" s="219"/>
      <c r="F28" s="219"/>
      <c r="G28" s="219"/>
      <c r="H28" s="219"/>
      <c r="I28" s="219"/>
      <c r="J28" s="219"/>
      <c r="K28" s="219"/>
      <c r="L28" s="219"/>
      <c r="M28" s="219"/>
      <c r="N28" s="148"/>
      <c r="O28" s="149" t="s">
        <v>20</v>
      </c>
      <c r="P28" s="150">
        <f>SQRT(P20+O21*P21+O22*P22+O23*P23)</f>
        <v>2.217120880782101</v>
      </c>
      <c r="Q28" s="150">
        <f t="shared" si="0"/>
        <v>-9.613065326633164</v>
      </c>
      <c r="R28" s="150">
        <f t="shared" si="1"/>
        <v>1.4889254095679858E-05</v>
      </c>
      <c r="S28" s="150">
        <f t="shared" si="2"/>
        <v>0.02390059022396043</v>
      </c>
      <c r="T28" s="149" t="s">
        <v>20</v>
      </c>
      <c r="U28" s="150">
        <f>SQRT(U20+T21*U21+T22*U22+T23*U23)</f>
        <v>2.349601029962321</v>
      </c>
      <c r="V28" s="150">
        <f t="shared" si="5"/>
        <v>-5.361809045226133</v>
      </c>
      <c r="W28" s="150">
        <f t="shared" si="3"/>
        <v>0.012563430748707406</v>
      </c>
      <c r="X28" s="150">
        <f t="shared" si="4"/>
        <v>8.030638355808095E-06</v>
      </c>
    </row>
    <row r="29" spans="1:24" ht="12.75">
      <c r="A29" s="55"/>
      <c r="B29" s="219"/>
      <c r="C29" s="219"/>
      <c r="D29" s="219"/>
      <c r="E29" s="219"/>
      <c r="F29" s="219"/>
      <c r="G29" s="219"/>
      <c r="H29" s="219"/>
      <c r="I29" s="219"/>
      <c r="J29" s="219"/>
      <c r="K29" s="219"/>
      <c r="L29" s="219"/>
      <c r="M29" s="219"/>
      <c r="N29" s="148"/>
      <c r="O29" s="149" t="s">
        <v>17</v>
      </c>
      <c r="P29" s="150">
        <f>main!P19</f>
        <v>2.063898547318068</v>
      </c>
      <c r="Q29" s="150">
        <f t="shared" si="0"/>
        <v>-9.51758793969849</v>
      </c>
      <c r="R29" s="150">
        <f t="shared" si="1"/>
        <v>1.7929177798734578E-05</v>
      </c>
      <c r="S29" s="150">
        <f t="shared" si="2"/>
        <v>0.02603664773132731</v>
      </c>
      <c r="T29" s="149" t="s">
        <v>17</v>
      </c>
      <c r="U29" s="150">
        <f>P29</f>
        <v>2.063898547318068</v>
      </c>
      <c r="V29" s="150">
        <f t="shared" si="5"/>
        <v>-5.256281407035178</v>
      </c>
      <c r="W29" s="150">
        <f t="shared" si="3"/>
        <v>0.013905348206301715</v>
      </c>
      <c r="X29" s="150">
        <f t="shared" si="4"/>
        <v>9.803122297226243E-06</v>
      </c>
    </row>
    <row r="30" spans="15:24" ht="12.75" customHeight="1">
      <c r="O30" s="149" t="s">
        <v>19</v>
      </c>
      <c r="P30" s="150">
        <f>ABS(P2-main!C12)/P28</f>
        <v>2.255176992531063</v>
      </c>
      <c r="Q30" s="150">
        <f t="shared" si="0"/>
        <v>-9.422110552763817</v>
      </c>
      <c r="R30" s="150">
        <f t="shared" si="1"/>
        <v>2.1549758909730706E-05</v>
      </c>
      <c r="S30" s="150">
        <f t="shared" si="2"/>
        <v>0.02831105919403847</v>
      </c>
      <c r="T30" s="149" t="s">
        <v>19</v>
      </c>
      <c r="U30" s="150">
        <f>ABS(U2-main!C12)/U28</f>
        <v>2.128020858111465</v>
      </c>
      <c r="V30" s="150">
        <f t="shared" si="5"/>
        <v>-5.150753768844224</v>
      </c>
      <c r="W30" s="150">
        <f t="shared" si="3"/>
        <v>0.015359583446593892</v>
      </c>
      <c r="X30" s="150">
        <f t="shared" si="4"/>
        <v>1.1942705509452229E-05</v>
      </c>
    </row>
    <row r="31" spans="3:24" ht="12.75">
      <c r="C31" s="216" t="s">
        <v>40</v>
      </c>
      <c r="D31" s="214"/>
      <c r="E31" s="214"/>
      <c r="F31" s="214"/>
      <c r="G31" s="214"/>
      <c r="H31" s="214"/>
      <c r="I31" s="214"/>
      <c r="J31" s="214"/>
      <c r="K31" s="214"/>
      <c r="L31" s="214"/>
      <c r="O31" s="149" t="s">
        <v>21</v>
      </c>
      <c r="P31" s="150">
        <f>P29*(1-1/(4*P8))^2-P30</f>
        <v>-0.23275362197645144</v>
      </c>
      <c r="Q31" s="150">
        <f t="shared" si="0"/>
        <v>-9.326633165829143</v>
      </c>
      <c r="R31" s="150">
        <f t="shared" si="1"/>
        <v>2.5853483419324195E-05</v>
      </c>
      <c r="S31" s="150">
        <f t="shared" si="2"/>
        <v>0.03072711442332976</v>
      </c>
      <c r="T31" s="149" t="s">
        <v>21</v>
      </c>
      <c r="U31" s="150">
        <f>U29*(1-1/(4*U8))^2-U30</f>
        <v>-0.09707823266125848</v>
      </c>
      <c r="V31" s="150">
        <f t="shared" si="5"/>
        <v>-5.045226130653269</v>
      </c>
      <c r="W31" s="150">
        <f t="shared" si="3"/>
        <v>0.016931715312839532</v>
      </c>
      <c r="X31" s="150">
        <f t="shared" si="4"/>
        <v>1.451994518457242E-05</v>
      </c>
    </row>
    <row r="32" spans="3:24" ht="12.75">
      <c r="C32" s="214"/>
      <c r="D32" s="214"/>
      <c r="E32" s="214"/>
      <c r="F32" s="214"/>
      <c r="G32" s="214"/>
      <c r="H32" s="214"/>
      <c r="I32" s="214"/>
      <c r="J32" s="214"/>
      <c r="K32" s="214"/>
      <c r="L32" s="214"/>
      <c r="O32" s="149" t="s">
        <v>22</v>
      </c>
      <c r="P32" s="150">
        <f>SQRT(1+P29^2/(2*P8))</f>
        <v>1.0421300210199045</v>
      </c>
      <c r="Q32" s="150">
        <f t="shared" si="0"/>
        <v>-9.23115577889447</v>
      </c>
      <c r="R32" s="150">
        <f t="shared" si="1"/>
        <v>3.0959242590867566E-05</v>
      </c>
      <c r="S32" s="150">
        <f t="shared" si="2"/>
        <v>0.033287566481766964</v>
      </c>
      <c r="T32" s="149" t="s">
        <v>22</v>
      </c>
      <c r="U32" s="150">
        <f>SQRT(1+U29^2/(2*U8))</f>
        <v>1.0335818265423589</v>
      </c>
      <c r="V32" s="150">
        <f t="shared" si="5"/>
        <v>-4.939698492462314</v>
      </c>
      <c r="W32" s="150">
        <f t="shared" si="3"/>
        <v>0.018627150712358393</v>
      </c>
      <c r="X32" s="150">
        <f t="shared" si="4"/>
        <v>1.7617779944408196E-05</v>
      </c>
    </row>
    <row r="33" spans="17:24" ht="12.75">
      <c r="Q33" s="150">
        <f t="shared" si="0"/>
        <v>-9.135678391959797</v>
      </c>
      <c r="R33" s="150">
        <f t="shared" si="1"/>
        <v>3.7004641139727416E-05</v>
      </c>
      <c r="S33" s="150">
        <f t="shared" si="2"/>
        <v>0.03599456465538956</v>
      </c>
      <c r="V33" s="150">
        <f t="shared" si="5"/>
        <v>-4.83417085427136</v>
      </c>
      <c r="W33" s="150">
        <f t="shared" si="3"/>
        <v>0.020451061277955467</v>
      </c>
      <c r="X33" s="150">
        <f t="shared" si="4"/>
        <v>2.1333461881878316E-05</v>
      </c>
    </row>
    <row r="34" spans="17:24" ht="12.75">
      <c r="Q34" s="150">
        <f t="shared" si="0"/>
        <v>-9.040201005025123</v>
      </c>
      <c r="R34" s="150">
        <f t="shared" si="1"/>
        <v>4.4148573535493774E-05</v>
      </c>
      <c r="S34" s="150">
        <f t="shared" si="2"/>
        <v>0.038849587598950956</v>
      </c>
      <c r="V34" s="150">
        <f t="shared" si="5"/>
        <v>-4.728643216080405</v>
      </c>
      <c r="W34" s="150">
        <f t="shared" si="3"/>
        <v>0.02240831610879566</v>
      </c>
      <c r="X34" s="150">
        <f t="shared" si="4"/>
        <v>2.5780743742974434E-05</v>
      </c>
    </row>
    <row r="35" spans="17:24" ht="12.75">
      <c r="Q35" s="150">
        <f t="shared" si="0"/>
        <v>-8.94472361809045</v>
      </c>
      <c r="R35" s="150">
        <f t="shared" si="1"/>
        <v>5.2574089978416396E-05</v>
      </c>
      <c r="S35" s="150">
        <f t="shared" si="2"/>
        <v>0.04185337744154793</v>
      </c>
      <c r="V35" s="150">
        <f t="shared" si="5"/>
        <v>-4.62311557788945</v>
      </c>
      <c r="W35" s="150">
        <f t="shared" si="3"/>
        <v>0.02450341105081313</v>
      </c>
      <c r="X35" s="150">
        <f t="shared" si="4"/>
        <v>3.1092346485455303E-05</v>
      </c>
    </row>
    <row r="36" spans="17:24" ht="12.75">
      <c r="Q36" s="150">
        <f t="shared" si="0"/>
        <v>-8.849246231155776</v>
      </c>
      <c r="R36" s="150">
        <f t="shared" si="1"/>
        <v>6.249157371999318E-05</v>
      </c>
      <c r="S36" s="150">
        <f t="shared" si="2"/>
        <v>0.04500587569172988</v>
      </c>
      <c r="V36" s="150">
        <f t="shared" si="5"/>
        <v>-4.517587939698496</v>
      </c>
      <c r="W36" s="150">
        <f t="shared" si="3"/>
        <v>0.026740395073352054</v>
      </c>
      <c r="X36" s="150">
        <f t="shared" si="4"/>
        <v>3.742273344276453E-05</v>
      </c>
    </row>
    <row r="37" spans="17:24" ht="12.75">
      <c r="Q37" s="150">
        <f t="shared" si="0"/>
        <v>-8.753768844221103</v>
      </c>
      <c r="R37" s="150">
        <f t="shared" si="1"/>
        <v>7.414225118836633E-05</v>
      </c>
      <c r="S37" s="150">
        <f t="shared" si="2"/>
        <v>0.048306161824269764</v>
      </c>
      <c r="V37" s="150">
        <f t="shared" si="5"/>
        <v>-4.412060301507541</v>
      </c>
      <c r="W37" s="150">
        <f t="shared" si="3"/>
        <v>0.029122794395408286</v>
      </c>
      <c r="X37" s="150">
        <f t="shared" si="4"/>
        <v>4.495121805798511E-05</v>
      </c>
    </row>
    <row r="38" spans="17:24" ht="12.75">
      <c r="Q38" s="150">
        <f t="shared" si="0"/>
        <v>-8.65829145728643</v>
      </c>
      <c r="R38" s="150">
        <f t="shared" si="1"/>
        <v>8.780205578230091E-05</v>
      </c>
      <c r="S38" s="150">
        <f t="shared" si="2"/>
        <v>0.05175239546371848</v>
      </c>
      <c r="V38" s="150">
        <f t="shared" si="5"/>
        <v>-4.306532663316586</v>
      </c>
      <c r="W38" s="150">
        <f t="shared" si="3"/>
        <v>0.031653535109745445</v>
      </c>
      <c r="X38" s="150">
        <f t="shared" si="4"/>
        <v>5.3885432564584375E-05</v>
      </c>
    </row>
    <row r="39" spans="17:24" ht="12.75">
      <c r="Q39" s="150">
        <f t="shared" si="0"/>
        <v>-8.562814070351756</v>
      </c>
      <c r="R39" s="150">
        <f t="shared" si="1"/>
        <v>0.00010378586514959759</v>
      </c>
      <c r="S39" s="150">
        <f t="shared" si="2"/>
        <v>0.05534176310129206</v>
      </c>
      <c r="V39" s="150">
        <f t="shared" si="5"/>
        <v>-4.201005025125632</v>
      </c>
      <c r="W39" s="150">
        <f t="shared" si="3"/>
        <v>0.03433486514432838</v>
      </c>
      <c r="X39" s="150">
        <f t="shared" si="4"/>
        <v>6.44651850029516E-05</v>
      </c>
    </row>
    <row r="40" spans="17:24" ht="12.75">
      <c r="Q40" s="150">
        <f t="shared" si="0"/>
        <v>-8.467336683417082</v>
      </c>
      <c r="R40" s="150">
        <f t="shared" si="1"/>
        <v>0.00012245213020041393</v>
      </c>
      <c r="S40" s="150">
        <f t="shared" si="2"/>
        <v>0.05907043029030574</v>
      </c>
      <c r="V40" s="150">
        <f t="shared" si="5"/>
        <v>-4.095477386934677</v>
      </c>
      <c r="W40" s="150">
        <f t="shared" si="3"/>
        <v>0.03716827648588405</v>
      </c>
      <c r="X40" s="150">
        <f t="shared" si="4"/>
        <v>7.696673149232847E-05</v>
      </c>
    </row>
    <row r="41" spans="17:24" ht="12.75">
      <c r="Q41" s="150">
        <f t="shared" si="0"/>
        <v>-8.371859296482409</v>
      </c>
      <c r="R41" s="150">
        <f t="shared" si="1"/>
        <v>0.00014420791195466956</v>
      </c>
      <c r="S41" s="150">
        <f t="shared" si="2"/>
        <v>0.06293350026017772</v>
      </c>
      <c r="V41" s="150">
        <f t="shared" si="5"/>
        <v>-3.9899497487437223</v>
      </c>
      <c r="W41" s="150">
        <f t="shared" si="3"/>
        <v>0.04015442866782733</v>
      </c>
      <c r="X41" s="150">
        <f t="shared" si="4"/>
        <v>9.170748963867568E-05</v>
      </c>
    </row>
    <row r="42" spans="17:24" ht="12.75">
      <c r="Q42" s="150">
        <f t="shared" si="0"/>
        <v>-8.276381909547736</v>
      </c>
      <c r="R42" s="150">
        <f t="shared" si="1"/>
        <v>0.00016951433951606755</v>
      </c>
      <c r="S42" s="150">
        <f t="shared" si="2"/>
        <v>0.06692497986906332</v>
      </c>
      <c r="V42" s="150">
        <f t="shared" si="5"/>
        <v>-3.8844221105527676</v>
      </c>
      <c r="W42" s="150">
        <f t="shared" si="3"/>
        <v>0.0432930745921183</v>
      </c>
      <c r="X42" s="150">
        <f t="shared" si="4"/>
        <v>0.00010905121725721809</v>
      </c>
    </row>
    <row r="43" spans="17:24" ht="12.75">
      <c r="Q43" s="150">
        <f t="shared" si="0"/>
        <v>-8.180904522613062</v>
      </c>
      <c r="R43" s="150">
        <f t="shared" si="1"/>
        <v>0.00019889249893431516</v>
      </c>
      <c r="S43" s="150">
        <f t="shared" si="2"/>
        <v>0.07103775377975603</v>
      </c>
      <c r="V43" s="150">
        <f t="shared" si="5"/>
        <v>-3.778894472361813</v>
      </c>
      <c r="W43" s="150">
        <f t="shared" si="3"/>
        <v>0.046582989809713274</v>
      </c>
      <c r="X43" s="150">
        <f t="shared" si="4"/>
        <v>0.00012941367812690062</v>
      </c>
    </row>
    <row r="44" spans="17:24" ht="12.75">
      <c r="Q44" s="150">
        <f t="shared" si="0"/>
        <v>-8.085427135678389</v>
      </c>
      <c r="R44" s="150">
        <f t="shared" si="1"/>
        <v>0.0002329297583949053</v>
      </c>
      <c r="S44" s="150">
        <f t="shared" si="2"/>
        <v>0.07526356769215876</v>
      </c>
      <c r="V44" s="150">
        <f t="shared" si="5"/>
        <v>-3.6733668341708583</v>
      </c>
      <c r="W44" s="150">
        <f t="shared" si="3"/>
        <v>0.05002190642507423</v>
      </c>
      <c r="X44" s="150">
        <f t="shared" si="4"/>
        <v>0.00015326881317352247</v>
      </c>
    </row>
    <row r="45" spans="17:24" ht="12.75">
      <c r="Q45" s="150">
        <f t="shared" si="0"/>
        <v>-7.989949748743715</v>
      </c>
      <c r="R45" s="150">
        <f t="shared" si="1"/>
        <v>0.0002722865299992866</v>
      </c>
      <c r="S45" s="150">
        <f t="shared" si="2"/>
        <v>0.07959302139821203</v>
      </c>
      <c r="V45" s="150">
        <f t="shared" si="5"/>
        <v>-3.5678391959799036</v>
      </c>
      <c r="W45" s="150">
        <f t="shared" si="3"/>
        <v>0.05360645281478117</v>
      </c>
      <c r="X45" s="150">
        <f t="shared" si="4"/>
        <v>0.0001811554311993326</v>
      </c>
    </row>
    <row r="46" spans="17:24" ht="12.75">
      <c r="Q46" s="150">
        <f t="shared" si="0"/>
        <v>-7.894472361809042</v>
      </c>
      <c r="R46" s="150">
        <f t="shared" si="1"/>
        <v>0.00031770346231029705</v>
      </c>
      <c r="S46" s="150">
        <f t="shared" si="2"/>
        <v>0.08401557234179423</v>
      </c>
      <c r="V46" s="150">
        <f t="shared" si="5"/>
        <v>-3.462311557788949</v>
      </c>
      <c r="W46" s="150">
        <f t="shared" si="3"/>
        <v>0.05733210035690231</v>
      </c>
      <c r="X46" s="150">
        <f t="shared" si="4"/>
        <v>0.00021368442794182128</v>
      </c>
    </row>
    <row r="47" spans="17:24" ht="12.75">
      <c r="Q47" s="150">
        <f t="shared" si="0"/>
        <v>-7.798994974874368</v>
      </c>
      <c r="R47" s="150">
        <f t="shared" si="1"/>
        <v>0.0003700090507895596</v>
      </c>
      <c r="S47" s="150">
        <f t="shared" si="2"/>
        <v>0.08851955026721009</v>
      </c>
      <c r="V47" s="150">
        <f t="shared" si="5"/>
        <v>-3.3567839195979943</v>
      </c>
      <c r="W47" s="150">
        <f t="shared" si="3"/>
        <v>0.06119311835491159</v>
      </c>
      <c r="X47" s="150">
        <f t="shared" si="4"/>
        <v>0.0002515465357605383</v>
      </c>
    </row>
    <row r="48" spans="17:24" ht="12.75">
      <c r="Q48" s="150">
        <f t="shared" si="0"/>
        <v>-7.703517587939695</v>
      </c>
      <c r="R48" s="150">
        <f t="shared" si="1"/>
        <v>0.0004301276452071203</v>
      </c>
      <c r="S48" s="150">
        <f t="shared" si="2"/>
        <v>0.09309218342622386</v>
      </c>
      <c r="V48" s="150">
        <f t="shared" si="5"/>
        <v>-3.2512562814070396</v>
      </c>
      <c r="W48" s="150">
        <f t="shared" si="3"/>
        <v>0.06518253830638719</v>
      </c>
      <c r="X48" s="150">
        <f t="shared" si="4"/>
        <v>0.0002955205985331256</v>
      </c>
    </row>
    <row r="49" spans="17:24" ht="12.75">
      <c r="Q49" s="150">
        <f t="shared" si="0"/>
        <v>-7.608040201005021</v>
      </c>
      <c r="R49" s="150">
        <f t="shared" si="1"/>
        <v>0.0004990878240344506</v>
      </c>
      <c r="S49" s="150">
        <f t="shared" si="2"/>
        <v>0.0977196366862476</v>
      </c>
      <c r="V49" s="150">
        <f t="shared" si="5"/>
        <v>-3.145728643216085</v>
      </c>
      <c r="W49" s="150">
        <f t="shared" si="3"/>
        <v>0.06929212861160275</v>
      </c>
      <c r="X49" s="150">
        <f t="shared" si="4"/>
        <v>0.0003464823573168413</v>
      </c>
    </row>
    <row r="50" spans="17:24" ht="12.75">
      <c r="Q50" s="150">
        <f t="shared" si="0"/>
        <v>-7.512562814070348</v>
      </c>
      <c r="R50" s="150">
        <f t="shared" si="1"/>
        <v>0.0005780310957318104</v>
      </c>
      <c r="S50" s="150">
        <f t="shared" si="2"/>
        <v>0.10238706174267742</v>
      </c>
      <c r="V50" s="150">
        <f t="shared" si="5"/>
        <v>-3.0402010050251302</v>
      </c>
      <c r="W50" s="150">
        <f t="shared" si="3"/>
        <v>0.07351238073995005</v>
      </c>
      <c r="X50" s="150">
        <f t="shared" si="4"/>
        <v>0.00040541372194146806</v>
      </c>
    </row>
    <row r="51" spans="17:24" ht="12.75">
      <c r="Q51" s="150">
        <f t="shared" si="0"/>
        <v>-7.4170854271356745</v>
      </c>
      <c r="R51" s="150">
        <f t="shared" si="1"/>
        <v>0.0006682208757209238</v>
      </c>
      <c r="S51" s="150">
        <f t="shared" si="2"/>
        <v>0.10707865948819022</v>
      </c>
      <c r="V51" s="150">
        <f t="shared" si="5"/>
        <v>-2.9346733668341756</v>
      </c>
      <c r="W51" s="150">
        <f t="shared" si="3"/>
        <v>0.07783250777284381</v>
      </c>
      <c r="X51" s="150">
        <f t="shared" si="4"/>
        <v>0.000473412491904731</v>
      </c>
    </row>
    <row r="52" spans="17:24" ht="12.75">
      <c r="Q52" s="150">
        <f t="shared" si="0"/>
        <v>-7.321608040201001</v>
      </c>
      <c r="R52" s="150">
        <f t="shared" si="1"/>
        <v>0.0007710516757272378</v>
      </c>
      <c r="S52" s="150">
        <f t="shared" si="2"/>
        <v>0.11177775443308752</v>
      </c>
      <c r="V52" s="150">
        <f t="shared" si="5"/>
        <v>-2.829145728643221</v>
      </c>
      <c r="W52" s="150">
        <f t="shared" si="3"/>
        <v>0.08224045612074792</v>
      </c>
      <c r="X52" s="150">
        <f t="shared" si="4"/>
        <v>0.0005517024767271734</v>
      </c>
    </row>
    <row r="53" spans="17:24" ht="12.75">
      <c r="Q53" s="150">
        <f t="shared" si="0"/>
        <v>-7.226130653266328</v>
      </c>
      <c r="R53" s="150">
        <f t="shared" si="1"/>
        <v>0.0008880584291408589</v>
      </c>
      <c r="S53" s="150">
        <f t="shared" si="2"/>
        <v>0.11646688090576952</v>
      </c>
      <c r="V53" s="150">
        <f t="shared" si="5"/>
        <v>-2.723618090452266</v>
      </c>
      <c r="W53" s="150">
        <f t="shared" si="3"/>
        <v>0.08672293107009808</v>
      </c>
      <c r="X53" s="150">
        <f t="shared" si="4"/>
        <v>0.0006416439513031049</v>
      </c>
    </row>
    <row r="54" spans="17:24" ht="12.75">
      <c r="Q54" s="150">
        <f t="shared" si="0"/>
        <v>-7.130653266331654</v>
      </c>
      <c r="R54" s="150">
        <f t="shared" si="1"/>
        <v>0.0010209258621679093</v>
      </c>
      <c r="S54" s="150">
        <f t="shared" si="2"/>
        <v>0.12112788059365381</v>
      </c>
      <c r="V54" s="150">
        <f t="shared" si="5"/>
        <v>-2.6180904522613115</v>
      </c>
      <c r="W54" s="150">
        <f t="shared" si="3"/>
        <v>0.0912654366545328</v>
      </c>
      <c r="X54" s="150">
        <f t="shared" si="4"/>
        <v>0.0007447443658038811</v>
      </c>
    </row>
    <row r="55" spans="17:24" ht="12.75">
      <c r="Q55" s="150">
        <f t="shared" si="0"/>
        <v>-7.035175879396981</v>
      </c>
      <c r="R55" s="150">
        <f t="shared" si="1"/>
        <v>0.0011714978059408126</v>
      </c>
      <c r="S55" s="150">
        <f t="shared" si="2"/>
        <v>0.12574201081501354</v>
      </c>
      <c r="V55" s="150">
        <f t="shared" si="5"/>
        <v>-2.512562814070357</v>
      </c>
      <c r="W55" s="150">
        <f t="shared" si="3"/>
        <v>0.09585233016582402</v>
      </c>
      <c r="X55" s="150">
        <f t="shared" si="4"/>
        <v>0.0008626692124330508</v>
      </c>
    </row>
    <row r="56" spans="17:24" ht="12.75">
      <c r="Q56" s="150">
        <f t="shared" si="0"/>
        <v>-6.939698492462307</v>
      </c>
      <c r="R56" s="150">
        <f t="shared" si="1"/>
        <v>0.0013417863295761092</v>
      </c>
      <c r="S56" s="150">
        <f t="shared" si="2"/>
        <v>0.1302900627441416</v>
      </c>
      <c r="V56" s="150">
        <f t="shared" si="5"/>
        <v>-2.407035175879402</v>
      </c>
      <c r="W56" s="150">
        <f t="shared" si="3"/>
        <v>0.10046689142553782</v>
      </c>
      <c r="X56" s="150">
        <f t="shared" si="4"/>
        <v>0.0009972529329251485</v>
      </c>
    </row>
    <row r="57" spans="17:24" ht="12.75">
      <c r="Q57" s="150">
        <f t="shared" si="0"/>
        <v>-6.844221105527634</v>
      </c>
      <c r="R57" s="150">
        <f t="shared" si="1"/>
        <v>0.0015339805585951793</v>
      </c>
      <c r="S57" s="150">
        <f t="shared" si="2"/>
        <v>0.13475248864888417</v>
      </c>
      <c r="V57" s="150">
        <f t="shared" si="5"/>
        <v>-2.3015075376884475</v>
      </c>
      <c r="W57" s="150">
        <f t="shared" si="3"/>
        <v>0.10509140673151375</v>
      </c>
      <c r="X57" s="150">
        <f t="shared" si="4"/>
        <v>0.0011505097312921636</v>
      </c>
    </row>
    <row r="58" spans="17:24" ht="12.75">
      <c r="Q58" s="150">
        <f t="shared" si="0"/>
        <v>-6.74874371859296</v>
      </c>
      <c r="R58" s="150">
        <f t="shared" si="1"/>
        <v>0.001750455027375773</v>
      </c>
      <c r="S58" s="150">
        <f t="shared" si="2"/>
        <v>0.13910953704389148</v>
      </c>
      <c r="V58" s="150">
        <f t="shared" si="5"/>
        <v>-2.195979899497493</v>
      </c>
      <c r="W58" s="150">
        <f t="shared" si="3"/>
        <v>0.10970726717690531</v>
      </c>
      <c r="X58" s="150">
        <f t="shared" si="4"/>
        <v>0.0013246441361740924</v>
      </c>
    </row>
    <row r="59" spans="17:24" ht="12.75">
      <c r="Q59" s="150">
        <f t="shared" si="0"/>
        <v>-6.653266331658287</v>
      </c>
      <c r="R59" s="150">
        <f t="shared" si="1"/>
        <v>0.001993777398635667</v>
      </c>
      <c r="S59" s="150">
        <f t="shared" si="2"/>
        <v>0.14334139451785136</v>
      </c>
      <c r="V59" s="150">
        <f t="shared" si="5"/>
        <v>-2.090452261306538</v>
      </c>
      <c r="W59" s="150">
        <f t="shared" si="3"/>
        <v>0.11429508081730197</v>
      </c>
      <c r="X59" s="150">
        <f t="shared" si="4"/>
        <v>0.0015220611365144813</v>
      </c>
    </row>
    <row r="60" spans="17:24" ht="12.75">
      <c r="Q60" s="150">
        <f t="shared" si="0"/>
        <v>-6.5577889447236135</v>
      </c>
      <c r="R60" s="150">
        <f t="shared" si="1"/>
        <v>0.00226671536765535</v>
      </c>
      <c r="S60" s="150">
        <f t="shared" si="2"/>
        <v>0.14742833286134974</v>
      </c>
      <c r="V60" s="150">
        <f t="shared" si="5"/>
        <v>-1.9849246231155835</v>
      </c>
      <c r="W60" s="150">
        <f t="shared" si="3"/>
        <v>0.11883479793719173</v>
      </c>
      <c r="X60" s="150">
        <f t="shared" si="4"/>
        <v>0.0017453756934838456</v>
      </c>
    </row>
    <row r="61" spans="17:24" ht="12.75">
      <c r="Q61" s="150">
        <f t="shared" si="0"/>
        <v>-6.46231155778894</v>
      </c>
      <c r="R61" s="150">
        <f t="shared" si="1"/>
        <v>0.0025722425543503414</v>
      </c>
      <c r="S61" s="150">
        <f t="shared" si="2"/>
        <v>0.15135086000654643</v>
      </c>
      <c r="V61" s="150">
        <f t="shared" si="5"/>
        <v>-1.8793969849246288</v>
      </c>
      <c r="W61" s="150">
        <f t="shared" si="3"/>
        <v>0.1233058484447722</v>
      </c>
      <c r="X61" s="150">
        <f t="shared" si="4"/>
        <v>0.0019974214109930092</v>
      </c>
    </row>
    <row r="62" spans="17:24" ht="12.75">
      <c r="Q62" s="150">
        <f t="shared" si="0"/>
        <v>-6.366834170854267</v>
      </c>
      <c r="R62" s="150">
        <f t="shared" si="1"/>
        <v>0.0029135431727644817</v>
      </c>
      <c r="S62" s="150">
        <f t="shared" si="2"/>
        <v>0.155089873193053</v>
      </c>
      <c r="V62" s="150">
        <f t="shared" si="5"/>
        <v>-1.7738693467336741</v>
      </c>
      <c r="W62" s="150">
        <f t="shared" si="3"/>
        <v>0.1276872902080879</v>
      </c>
      <c r="X62" s="150">
        <f t="shared" si="4"/>
        <v>0.0022812581272080106</v>
      </c>
    </row>
    <row r="63" spans="17:24" ht="12.75">
      <c r="Q63" s="150">
        <f t="shared" si="0"/>
        <v>-6.271356783919593</v>
      </c>
      <c r="R63" s="150">
        <f t="shared" si="1"/>
        <v>0.0032940152554619467</v>
      </c>
      <c r="S63" s="150">
        <f t="shared" si="2"/>
        <v>0.15862681269847623</v>
      </c>
      <c r="V63" s="150">
        <f t="shared" si="5"/>
        <v>-1.6683417085427195</v>
      </c>
      <c r="W63" s="150">
        <f t="shared" si="3"/>
        <v>0.1319579669399123</v>
      </c>
      <c r="X63" s="150">
        <f t="shared" si="4"/>
        <v>0.0026001781706827256</v>
      </c>
    </row>
    <row r="64" spans="17:24" ht="12.75">
      <c r="Q64" s="150">
        <f t="shared" si="0"/>
        <v>-6.17587939698492</v>
      </c>
      <c r="R64" s="150">
        <f t="shared" si="1"/>
        <v>0.0037172722000616137</v>
      </c>
      <c r="S64" s="150">
        <f t="shared" si="2"/>
        <v>0.16194381441893513</v>
      </c>
      <c r="V64" s="150">
        <f t="shared" si="5"/>
        <v>-1.5628140703517648</v>
      </c>
      <c r="W64" s="150">
        <f t="shared" si="3"/>
        <v>0.13609667404793518</v>
      </c>
      <c r="X64" s="150">
        <f t="shared" si="4"/>
        <v>0.0029577110075971963</v>
      </c>
    </row>
    <row r="65" spans="17:24" ht="12.75">
      <c r="Q65" s="150">
        <f t="shared" si="0"/>
        <v>-6.080402010050246</v>
      </c>
      <c r="R65" s="150">
        <f t="shared" si="1"/>
        <v>0.004187142397216693</v>
      </c>
      <c r="S65" s="150">
        <f t="shared" si="2"/>
        <v>0.16502385955600485</v>
      </c>
      <c r="V65" s="150">
        <f t="shared" si="5"/>
        <v>-1.45728643216081</v>
      </c>
      <c r="W65" s="150">
        <f t="shared" si="3"/>
        <v>0.14008233069473694</v>
      </c>
      <c r="X65" s="150">
        <f t="shared" si="4"/>
        <v>0.0033576259917029467</v>
      </c>
    </row>
    <row r="66" spans="17:24" ht="12.75">
      <c r="Q66" s="150">
        <f t="shared" si="0"/>
        <v>-5.984924623115573</v>
      </c>
      <c r="R66" s="150">
        <f t="shared" si="1"/>
        <v>0.0047076666941423375</v>
      </c>
      <c r="S66" s="150">
        <f t="shared" si="2"/>
        <v>0.1678509196630847</v>
      </c>
      <c r="V66" s="150">
        <f t="shared" si="5"/>
        <v>-1.3517587939698554</v>
      </c>
      <c r="W66" s="150">
        <f t="shared" si="3"/>
        <v>0.1438941561625992</v>
      </c>
      <c r="X66" s="150">
        <f t="shared" si="4"/>
        <v>0.0038039329165401687</v>
      </c>
    </row>
    <row r="67" spans="17:24" ht="12.75">
      <c r="Q67" s="150">
        <f t="shared" si="0"/>
        <v>-5.889447236180899</v>
      </c>
      <c r="R67" s="150">
        <f t="shared" si="1"/>
        <v>0.005283093445786292</v>
      </c>
      <c r="S67" s="150">
        <f t="shared" si="2"/>
        <v>0.170410095326801</v>
      </c>
      <c r="V67" s="150">
        <f t="shared" si="5"/>
        <v>-1.2462311557789008</v>
      </c>
      <c r="W67" s="150">
        <f t="shared" si="3"/>
        <v>0.1475118484949358</v>
      </c>
      <c r="X67" s="150">
        <f t="shared" si="4"/>
        <v>0.004300880060939608</v>
      </c>
    </row>
    <row r="68" spans="17:24" ht="12.75">
      <c r="Q68" s="150">
        <f aca="true" t="shared" si="6" ref="Q68:Q131">Q67+$P$13</f>
        <v>-5.793969849246226</v>
      </c>
      <c r="R68" s="150">
        <f aca="true" t="shared" si="7" ref="R68:R131">NORMDIST(Q68,0,$P$10,0)</f>
        <v>0.00591787090737159</v>
      </c>
      <c r="S68" s="150">
        <f aca="true" t="shared" si="8" ref="S68:S131">NORMDIST(Q68,$S$2,$P$10,0)</f>
        <v>0.1726877468079189</v>
      </c>
      <c r="V68" s="150">
        <f t="shared" si="5"/>
        <v>-1.140703517587946</v>
      </c>
      <c r="W68" s="150">
        <f aca="true" t="shared" si="9" ref="W68:W131">NORMDIST(V68,0,$U$10,0)</f>
        <v>0.15091576329214876</v>
      </c>
      <c r="X68" s="150">
        <f aca="true" t="shared" si="10" ref="X68:X131">NORMDIST(V68,$X$2,$U$10,0)</f>
        <v>0.004852949414401646</v>
      </c>
    </row>
    <row r="69" spans="17:24" ht="12.75">
      <c r="Q69" s="150">
        <f t="shared" si="6"/>
        <v>-5.6984924623115525</v>
      </c>
      <c r="R69" s="150">
        <f t="shared" si="7"/>
        <v>0.006616636727749502</v>
      </c>
      <c r="S69" s="150">
        <f t="shared" si="8"/>
        <v>0.1746716150410596</v>
      </c>
      <c r="V69" s="150">
        <f aca="true" t="shared" si="11" ref="V69:V132">V68+$U$13</f>
        <v>-1.0351758793969914</v>
      </c>
      <c r="W69" s="150">
        <f t="shared" si="9"/>
        <v>0.15408709047763408</v>
      </c>
      <c r="X69" s="150">
        <f t="shared" si="10"/>
        <v>0.0054648487693043715</v>
      </c>
    </row>
    <row r="70" spans="17:24" ht="12.75">
      <c r="Q70" s="150">
        <f t="shared" si="6"/>
        <v>-5.603015075376879</v>
      </c>
      <c r="R70" s="150">
        <f t="shared" si="7"/>
        <v>0.007384204313195778</v>
      </c>
      <c r="S70" s="150">
        <f t="shared" si="8"/>
        <v>0.17635093149250583</v>
      </c>
      <c r="V70" s="150">
        <f t="shared" si="11"/>
        <v>-0.9296482412060366</v>
      </c>
      <c r="W70" s="150">
        <f t="shared" si="9"/>
        <v>0.15700802682151477</v>
      </c>
      <c r="X70" s="150">
        <f t="shared" si="10"/>
        <v>0.006141500372664292</v>
      </c>
    </row>
    <row r="71" spans="17:24" ht="12.75">
      <c r="Q71" s="150">
        <f t="shared" si="6"/>
        <v>-5.507537688442206</v>
      </c>
      <c r="R71" s="150">
        <f t="shared" si="7"/>
        <v>0.008225545846334894</v>
      </c>
      <c r="S71" s="150">
        <f t="shared" si="8"/>
        <v>0.17771651549926565</v>
      </c>
      <c r="V71" s="150">
        <f t="shared" si="11"/>
        <v>-0.8241206030150818</v>
      </c>
      <c r="W71" s="150">
        <f t="shared" si="9"/>
        <v>0.15966194201687434</v>
      </c>
      <c r="X71" s="150">
        <f t="shared" si="10"/>
        <v>0.006888025841958439</v>
      </c>
    </row>
    <row r="72" spans="17:24" ht="12.75">
      <c r="Q72" s="150">
        <f t="shared" si="6"/>
        <v>-5.412060301507532</v>
      </c>
      <c r="R72" s="150">
        <f t="shared" si="7"/>
        <v>0.009145771765108529</v>
      </c>
      <c r="S72" s="150">
        <f t="shared" si="8"/>
        <v>0.17876085785861162</v>
      </c>
      <c r="V72" s="150">
        <f t="shared" si="11"/>
        <v>-0.718592964824127</v>
      </c>
      <c r="W72" s="150">
        <f t="shared" si="9"/>
        <v>0.16203353614651658</v>
      </c>
      <c r="X72" s="150">
        <f t="shared" si="10"/>
        <v>0.007709727067865979</v>
      </c>
    </row>
    <row r="73" spans="17:24" ht="12.75">
      <c r="Q73" s="150">
        <f t="shared" si="6"/>
        <v>-5.316582914572859</v>
      </c>
      <c r="R73" s="150">
        <f t="shared" si="7"/>
        <v>0.010150106532375613</v>
      </c>
      <c r="S73" s="150">
        <f t="shared" si="8"/>
        <v>0.17947818960335268</v>
      </c>
      <c r="V73" s="150">
        <f t="shared" si="11"/>
        <v>-0.6130653266331723</v>
      </c>
      <c r="W73" s="150">
        <f t="shared" si="9"/>
        <v>0.1641089864575896</v>
      </c>
      <c r="X73" s="150">
        <f t="shared" si="10"/>
        <v>0.008612062852181713</v>
      </c>
    </row>
    <row r="74" spans="17:24" ht="12.75">
      <c r="Q74" s="150">
        <f t="shared" si="6"/>
        <v>-5.221105527638185</v>
      </c>
      <c r="R74" s="150">
        <f t="shared" si="7"/>
        <v>0.011243860558025618</v>
      </c>
      <c r="S74" s="150">
        <f t="shared" si="8"/>
        <v>0.1798645350815604</v>
      </c>
      <c r="V74" s="150">
        <f t="shared" si="11"/>
        <v>-0.5075376884422175</v>
      </c>
      <c r="W74" s="150">
        <f t="shared" si="9"/>
        <v>0.16587608147605756</v>
      </c>
      <c r="X74" s="150">
        <f t="shared" si="10"/>
        <v>0.009600621061984801</v>
      </c>
    </row>
    <row r="75" spans="17:24" ht="12.75">
      <c r="Q75" s="150">
        <f t="shared" si="6"/>
        <v>-5.125628140703512</v>
      </c>
      <c r="R75" s="150">
        <f t="shared" si="7"/>
        <v>0.012432398172500067</v>
      </c>
      <c r="S75" s="150">
        <f t="shared" si="8"/>
        <v>0.1799177486574454</v>
      </c>
      <c r="V75" s="150">
        <f t="shared" si="11"/>
        <v>-0.4020100502512627</v>
      </c>
      <c r="W75" s="150">
        <f t="shared" si="9"/>
        <v>0.1673243406415156</v>
      </c>
      <c r="X75" s="150">
        <f t="shared" si="10"/>
        <v>0.010681086121694184</v>
      </c>
    </row>
    <row r="76" spans="17:24" ht="12.75">
      <c r="Q76" s="150">
        <f t="shared" si="6"/>
        <v>-5.030150753768838</v>
      </c>
      <c r="R76" s="150">
        <f t="shared" si="7"/>
        <v>0.013721101593344262</v>
      </c>
      <c r="S76" s="150">
        <f t="shared" si="8"/>
        <v>0.1796375345593565</v>
      </c>
      <c r="V76" s="150">
        <f t="shared" si="11"/>
        <v>-0.2964824120603079</v>
      </c>
      <c r="W76" s="150">
        <f t="shared" si="9"/>
        <v>0.16844511782305724</v>
      </c>
      <c r="X76" s="150">
        <f t="shared" si="10"/>
        <v>0.011859201713058678</v>
      </c>
    </row>
    <row r="77" spans="17:24" ht="12.75">
      <c r="Q77" s="150">
        <f t="shared" si="6"/>
        <v>-4.934673366834165</v>
      </c>
      <c r="R77" s="150">
        <f t="shared" si="7"/>
        <v>0.015115330874734368</v>
      </c>
      <c r="S77" s="150">
        <f t="shared" si="8"/>
        <v>0.17902544961801806</v>
      </c>
      <c r="V77" s="150">
        <f t="shared" si="11"/>
        <v>-0.1909547738693531</v>
      </c>
      <c r="W77" s="150">
        <f t="shared" si="9"/>
        <v>0.16923168728596574</v>
      </c>
      <c r="X77" s="150">
        <f t="shared" si="10"/>
        <v>0.013140728609415835</v>
      </c>
    </row>
    <row r="78" spans="17:24" ht="12.75">
      <c r="Q78" s="150">
        <f t="shared" si="6"/>
        <v>-4.8391959798994915</v>
      </c>
      <c r="R78" s="150">
        <f t="shared" si="7"/>
        <v>0.016620379883605225</v>
      </c>
      <c r="S78" s="150">
        <f t="shared" si="8"/>
        <v>0.17808488885953713</v>
      </c>
      <c r="V78" s="150">
        <f t="shared" si="11"/>
        <v>-0.08542713567839834</v>
      </c>
      <c r="W78" s="150">
        <f t="shared" si="9"/>
        <v>0.16967931091345126</v>
      </c>
      <c r="X78" s="150">
        <f t="shared" si="10"/>
        <v>0.014531397634543497</v>
      </c>
    </row>
    <row r="79" spans="17:24" ht="12.75">
      <c r="Q79" s="150">
        <f t="shared" si="6"/>
        <v>-4.743718592964818</v>
      </c>
      <c r="R79" s="150">
        <f t="shared" si="7"/>
        <v>0.018241428404672595</v>
      </c>
      <c r="S79" s="150">
        <f t="shared" si="8"/>
        <v>0.17682105413971727</v>
      </c>
      <c r="V79" s="150">
        <f t="shared" si="11"/>
        <v>0.020100502512556434</v>
      </c>
      <c r="W79" s="150">
        <f t="shared" si="9"/>
        <v>0.16978528574347637</v>
      </c>
      <c r="X79" s="150">
        <f t="shared" si="10"/>
        <v>0.016036857807773867</v>
      </c>
    </row>
    <row r="80" spans="17:24" ht="12.75">
      <c r="Q80" s="150">
        <f t="shared" si="6"/>
        <v>-4.648241206030145</v>
      </c>
      <c r="R80" s="150">
        <f t="shared" si="7"/>
        <v>0.01998349053979434</v>
      </c>
      <c r="S80" s="150">
        <f t="shared" si="8"/>
        <v>0.1752409062251188</v>
      </c>
      <c r="V80" s="150">
        <f t="shared" si="11"/>
        <v>0.1256281407035112</v>
      </c>
      <c r="W80" s="150">
        <f t="shared" si="9"/>
        <v>0.16954897115341713</v>
      </c>
      <c r="X80" s="150">
        <f t="shared" si="10"/>
        <v>0.017662619815197324</v>
      </c>
    </row>
    <row r="81" spans="17:24" ht="12.75">
      <c r="Q81" s="150">
        <f t="shared" si="6"/>
        <v>-4.552763819095471</v>
      </c>
      <c r="R81" s="150">
        <f t="shared" si="7"/>
        <v>0.021851359634104495</v>
      </c>
      <c r="S81" s="150">
        <f t="shared" si="8"/>
        <v>0.1733531009384731</v>
      </c>
      <c r="V81" s="150">
        <f t="shared" si="11"/>
        <v>0.23115577889446598</v>
      </c>
      <c r="W81" s="150">
        <f t="shared" si="9"/>
        <v>0.16897179531004894</v>
      </c>
      <c r="X81" s="150">
        <f t="shared" si="10"/>
        <v>0.019413995031005694</v>
      </c>
    </row>
    <row r="82" spans="17:24" ht="12.75">
      <c r="Q82" s="150">
        <f t="shared" si="6"/>
        <v>-4.457286432160798</v>
      </c>
      <c r="R82" s="150">
        <f t="shared" si="7"/>
        <v>0.0238495500313972</v>
      </c>
      <c r="S82" s="150">
        <f t="shared" si="8"/>
        <v>0.17116791018799987</v>
      </c>
      <c r="V82" s="150">
        <f t="shared" si="11"/>
        <v>0.33668341708542077</v>
      </c>
      <c r="W82" s="150">
        <f t="shared" si="9"/>
        <v>0.16805724079400144</v>
      </c>
      <c r="X82" s="150">
        <f t="shared" si="10"/>
        <v>0.021296030402355157</v>
      </c>
    </row>
    <row r="83" spans="17:24" ht="12.75">
      <c r="Q83" s="150">
        <f t="shared" si="6"/>
        <v>-4.361809045226124</v>
      </c>
      <c r="R83" s="150">
        <f t="shared" si="7"/>
        <v>0.025982236033413195</v>
      </c>
      <c r="S83" s="150">
        <f t="shared" si="8"/>
        <v>0.16869712888860042</v>
      </c>
      <c r="V83" s="150">
        <f t="shared" si="11"/>
        <v>0.44221105527637555</v>
      </c>
      <c r="W83" s="150">
        <f t="shared" si="9"/>
        <v>0.16681080960112726</v>
      </c>
      <c r="X83" s="150">
        <f t="shared" si="10"/>
        <v>0.023313439604401177</v>
      </c>
    </row>
    <row r="84" spans="17:24" ht="12.75">
      <c r="Q84" s="150">
        <f t="shared" si="6"/>
        <v>-4.266331658291451</v>
      </c>
      <c r="R84" s="150">
        <f t="shared" si="7"/>
        <v>0.028253188510936774</v>
      </c>
      <c r="S84" s="150">
        <f t="shared" si="8"/>
        <v>0.1659539689547964</v>
      </c>
      <c r="V84" s="150">
        <f t="shared" si="11"/>
        <v>0.5477386934673303</v>
      </c>
      <c r="W84" s="150">
        <f t="shared" si="9"/>
        <v>0.16523996801286567</v>
      </c>
      <c r="X84" s="150">
        <f t="shared" si="10"/>
        <v>0.025470530968003887</v>
      </c>
    </row>
    <row r="85" spans="17:24" ht="12.75">
      <c r="Q85" s="150">
        <f t="shared" si="6"/>
        <v>-4.170854271356777</v>
      </c>
      <c r="R85" s="150">
        <f t="shared" si="7"/>
        <v>0.030665709687772862</v>
      </c>
      <c r="S85" s="150">
        <f t="shared" si="8"/>
        <v>0.16295294169796345</v>
      </c>
      <c r="V85" s="150">
        <f t="shared" si="11"/>
        <v>0.6532663316582851</v>
      </c>
      <c r="W85" s="150">
        <f t="shared" si="9"/>
        <v>0.16335407210843125</v>
      </c>
      <c r="X85" s="150">
        <f t="shared" si="10"/>
        <v>0.027771132779457624</v>
      </c>
    </row>
    <row r="86" spans="17:24" ht="12.75">
      <c r="Q86" s="150">
        <f t="shared" si="6"/>
        <v>-4.075376884422104</v>
      </c>
      <c r="R86" s="150">
        <f t="shared" si="7"/>
        <v>0.033222566690459115</v>
      </c>
      <c r="S86" s="150">
        <f t="shared" si="8"/>
        <v>0.1597097300915771</v>
      </c>
      <c r="V86" s="150">
        <f t="shared" si="11"/>
        <v>0.7587939698492399</v>
      </c>
      <c r="W86" s="150">
        <f t="shared" si="9"/>
        <v>0.1611642749584842</v>
      </c>
      <c r="X86" s="150">
        <f t="shared" si="10"/>
        <v>0.030218516647726887</v>
      </c>
    </row>
    <row r="87" spans="17:24" ht="12.75">
      <c r="Q87" s="150">
        <f t="shared" si="6"/>
        <v>-3.9798994974874304</v>
      </c>
      <c r="R87" s="150">
        <f t="shared" si="7"/>
        <v>0.03592592452560644</v>
      </c>
      <c r="S87" s="150">
        <f t="shared" si="8"/>
        <v>0.15624105247595763</v>
      </c>
      <c r="V87" s="150">
        <f t="shared" si="11"/>
        <v>0.8643216080401946</v>
      </c>
      <c r="W87" s="150">
        <f t="shared" si="9"/>
        <v>0.15868341678812373</v>
      </c>
      <c r="X87" s="150">
        <f t="shared" si="10"/>
        <v>0.03281531972817957</v>
      </c>
    </row>
    <row r="88" spans="17:24" ht="12.75">
      <c r="Q88" s="150">
        <f t="shared" si="6"/>
        <v>-3.884422110552757</v>
      </c>
      <c r="R88" s="150">
        <f t="shared" si="7"/>
        <v>0.03877727921161038</v>
      </c>
      <c r="S88" s="150">
        <f t="shared" si="8"/>
        <v>0.15256451935696339</v>
      </c>
      <c r="V88" s="150">
        <f t="shared" si="11"/>
        <v>0.9698492462311494</v>
      </c>
      <c r="W88" s="150">
        <f t="shared" si="9"/>
        <v>0.15592589962226983</v>
      </c>
      <c r="X88" s="150">
        <f t="shared" si="10"/>
        <v>0.035563466680683276</v>
      </c>
    </row>
    <row r="89" spans="17:24" ht="12.75">
      <c r="Q89" s="150">
        <f t="shared" si="6"/>
        <v>-3.7889447236180835</v>
      </c>
      <c r="R89" s="150">
        <f t="shared" si="7"/>
        <v>0.0417773918506493</v>
      </c>
      <c r="S89" s="150">
        <f t="shared" si="8"/>
        <v>0.1486984850102795</v>
      </c>
      <c r="V89" s="150">
        <f t="shared" si="11"/>
        <v>1.075376884422104</v>
      </c>
      <c r="W89" s="150">
        <f t="shared" si="9"/>
        <v>0.15290754812494872</v>
      </c>
      <c r="X89" s="150">
        <f t="shared" si="10"/>
        <v>0.03846409232206812</v>
      </c>
    </row>
    <row r="90" spans="17:24" ht="12.75">
      <c r="Q90" s="150">
        <f t="shared" si="6"/>
        <v>-3.69346733668341</v>
      </c>
      <c r="R90" s="150">
        <f t="shared" si="7"/>
        <v>0.04492622447887926</v>
      </c>
      <c r="S90" s="150">
        <f t="shared" si="8"/>
        <v>0.14466189563394036</v>
      </c>
      <c r="V90" s="150">
        <f t="shared" si="11"/>
        <v>1.1809045226130588</v>
      </c>
      <c r="W90" s="150">
        <f t="shared" si="9"/>
        <v>0.14964545851243236</v>
      </c>
      <c r="X90" s="150">
        <f t="shared" si="10"/>
        <v>0.041517466006206045</v>
      </c>
    </row>
    <row r="91" spans="17:24" ht="12.75">
      <c r="Q91" s="150">
        <f t="shared" si="6"/>
        <v>-3.5979899497487366</v>
      </c>
      <c r="R91" s="150">
        <f t="shared" si="7"/>
        <v>0.04822287857605973</v>
      </c>
      <c r="S91" s="150">
        <f t="shared" si="8"/>
        <v>0.14047413579653648</v>
      </c>
      <c r="V91" s="150">
        <f t="shared" si="11"/>
        <v>1.2864321608040135</v>
      </c>
      <c r="W91" s="150">
        <f t="shared" si="9"/>
        <v>0.14615783755601233</v>
      </c>
      <c r="X91" s="150">
        <f t="shared" si="10"/>
        <v>0.04472291882716111</v>
      </c>
    </row>
    <row r="92" spans="17:24" ht="12.75">
      <c r="Q92" s="150">
        <f t="shared" si="6"/>
        <v>-3.502512562814063</v>
      </c>
      <c r="R92" s="150">
        <f t="shared" si="7"/>
        <v>0.051665537149051415</v>
      </c>
      <c r="S92" s="150">
        <f t="shared" si="8"/>
        <v>0.13615487490770237</v>
      </c>
      <c r="V92" s="150">
        <f t="shared" si="11"/>
        <v>1.3919597989949681</v>
      </c>
      <c r="W92" s="150">
        <f t="shared" si="9"/>
        <v>0.14246383379150654</v>
      </c>
      <c r="X92" s="150">
        <f t="shared" si="10"/>
        <v>0.04807877478991447</v>
      </c>
    </row>
    <row r="93" spans="17:24" ht="12.75">
      <c r="Q93" s="150">
        <f t="shared" si="6"/>
        <v>-3.4070351758793898</v>
      </c>
      <c r="R93" s="150">
        <f t="shared" si="7"/>
        <v>0.05525141132535517</v>
      </c>
      <c r="S93" s="150">
        <f t="shared" si="8"/>
        <v>0.13172391539193498</v>
      </c>
      <c r="V93" s="150">
        <f t="shared" si="11"/>
        <v>1.4974874371859228</v>
      </c>
      <c r="W93" s="150">
        <f t="shared" si="9"/>
        <v>0.13858336311821648</v>
      </c>
      <c r="X93" s="150">
        <f t="shared" si="10"/>
        <v>0.05158228712705707</v>
      </c>
    </row>
    <row r="94" spans="17:24" ht="12.75">
      <c r="Q94" s="150">
        <f t="shared" si="6"/>
        <v>-3.3115577889447163</v>
      </c>
      <c r="R94" s="150">
        <f t="shared" si="7"/>
        <v>0.05897669240185508</v>
      </c>
      <c r="S94" s="150">
        <f t="shared" si="8"/>
        <v>0.1272010441779418</v>
      </c>
      <c r="V94" s="150">
        <f t="shared" si="11"/>
        <v>1.6030150753768775</v>
      </c>
      <c r="W94" s="150">
        <f t="shared" si="9"/>
        <v>0.13453693099953357</v>
      </c>
      <c r="X94" s="150">
        <f t="shared" si="10"/>
        <v>0.05522958095671432</v>
      </c>
    </row>
    <row r="95" spans="17:24" ht="12.75">
      <c r="Q95" s="150">
        <f t="shared" si="6"/>
        <v>-3.216080402010043</v>
      </c>
      <c r="R95" s="150">
        <f t="shared" si="7"/>
        <v>0.06283651028909087</v>
      </c>
      <c r="S95" s="150">
        <f t="shared" si="8"/>
        <v>0.12260588902535045</v>
      </c>
      <c r="V95" s="150">
        <f t="shared" si="11"/>
        <v>1.7085427135678322</v>
      </c>
      <c r="W95" s="150">
        <f t="shared" si="9"/>
        <v>0.13034545347099769</v>
      </c>
      <c r="X95" s="150">
        <f t="shared" si="10"/>
        <v>0.059015603475172235</v>
      </c>
    </row>
    <row r="96" spans="17:24" ht="12.75">
      <c r="Q96" s="150">
        <f t="shared" si="6"/>
        <v>-3.1206030150753694</v>
      </c>
      <c r="R96" s="150">
        <f t="shared" si="7"/>
        <v>0.06682489927179756</v>
      </c>
      <c r="S96" s="150">
        <f t="shared" si="8"/>
        <v>0.11795778110084812</v>
      </c>
      <c r="V96" s="150">
        <f t="shared" si="11"/>
        <v>1.8140703517587868</v>
      </c>
      <c r="W96" s="150">
        <f t="shared" si="9"/>
        <v>0.1260300791203392</v>
      </c>
      <c r="X96" s="150">
        <f t="shared" si="10"/>
        <v>0.06293408285583175</v>
      </c>
    </row>
    <row r="97" spans="17:24" ht="12.75">
      <c r="Q97" s="150">
        <f t="shared" si="6"/>
        <v>-3.025125628140696</v>
      </c>
      <c r="R97" s="150">
        <f t="shared" si="7"/>
        <v>0.07093477197141422</v>
      </c>
      <c r="S97" s="150">
        <f t="shared" si="8"/>
        <v>0.11327562508907069</v>
      </c>
      <c r="V97" s="150">
        <f t="shared" si="11"/>
        <v>1.9195979899497415</v>
      </c>
      <c r="W97" s="150">
        <f t="shared" si="9"/>
        <v>0.12161201412952884</v>
      </c>
      <c r="X97" s="150">
        <f t="shared" si="10"/>
        <v>0.06697749698315227</v>
      </c>
    </row>
    <row r="98" spans="17:24" ht="12.75">
      <c r="Q98" s="150">
        <f t="shared" si="6"/>
        <v>-2.9296482412060225</v>
      </c>
      <c r="R98" s="150">
        <f t="shared" si="7"/>
        <v>0.07515790234532614</v>
      </c>
      <c r="S98" s="150">
        <f t="shared" si="8"/>
        <v>0.10857777798246893</v>
      </c>
      <c r="V98" s="150">
        <f t="shared" si="11"/>
        <v>2.0251256281406964</v>
      </c>
      <c r="W98" s="150">
        <f t="shared" si="9"/>
        <v>0.11711235236338753</v>
      </c>
      <c r="X98" s="150">
        <f t="shared" si="10"/>
        <v>0.07113705308545273</v>
      </c>
    </row>
    <row r="99" spans="17:24" ht="12.75">
      <c r="Q99" s="150">
        <f t="shared" si="6"/>
        <v>-2.834170854271349</v>
      </c>
      <c r="R99" s="150">
        <f t="shared" si="7"/>
        <v>0.07948491849058653</v>
      </c>
      <c r="S99" s="150">
        <f t="shared" si="8"/>
        <v>0.10388193754175341</v>
      </c>
      <c r="V99" s="150">
        <f t="shared" si="11"/>
        <v>2.130653266331651</v>
      </c>
      <c r="W99" s="150">
        <f t="shared" si="9"/>
        <v>0.11255191235568315</v>
      </c>
      <c r="X99" s="150">
        <f t="shared" si="10"/>
        <v>0.07540267924350974</v>
      </c>
    </row>
    <row r="100" spans="17:24" ht="12.75">
      <c r="Q100" s="150">
        <f t="shared" si="6"/>
        <v>-2.7386934673366756</v>
      </c>
      <c r="R100" s="150">
        <f t="shared" si="7"/>
        <v>0.08390530593688042</v>
      </c>
      <c r="S100" s="150">
        <f t="shared" si="8"/>
        <v>0.09920504125728047</v>
      </c>
      <c r="V100" s="150">
        <f t="shared" si="11"/>
        <v>2.2361809045226058</v>
      </c>
      <c r="W100" s="150">
        <f t="shared" si="9"/>
        <v>0.10795108288514436</v>
      </c>
      <c r="X100" s="150">
        <f t="shared" si="10"/>
        <v>0.07976302864296518</v>
      </c>
    </row>
    <row r="101" spans="17:24" ht="12.75">
      <c r="Q101" s="150">
        <f t="shared" si="6"/>
        <v>-2.643216080402002</v>
      </c>
      <c r="R101" s="150">
        <f t="shared" si="7"/>
        <v>0.0884074220149725</v>
      </c>
      <c r="S101" s="150">
        <f t="shared" si="8"/>
        <v>0.09456317647485314</v>
      </c>
      <c r="V101" s="150">
        <f t="shared" si="11"/>
        <v>2.3417085427135604</v>
      </c>
      <c r="W101" s="150">
        <f t="shared" si="9"/>
        <v>0.10332967865412143</v>
      </c>
      <c r="X101" s="150">
        <f t="shared" si="10"/>
        <v>0.08420549730822775</v>
      </c>
    </row>
    <row r="102" spans="17:24" ht="12.75">
      <c r="Q102" s="150">
        <f t="shared" si="6"/>
        <v>-2.5477386934673287</v>
      </c>
      <c r="R102" s="150">
        <f t="shared" si="7"/>
        <v>0.0929785217735715</v>
      </c>
      <c r="S102" s="150">
        <f t="shared" si="8"/>
        <v>0.08997150217982211</v>
      </c>
      <c r="V102" s="150">
        <f t="shared" si="11"/>
        <v>2.447236180904515</v>
      </c>
      <c r="W102" s="150">
        <f t="shared" si="9"/>
        <v>0.09870680738567195</v>
      </c>
      <c r="X102" s="150">
        <f t="shared" si="10"/>
        <v>0.08871625590490878</v>
      </c>
    </row>
    <row r="103" spans="17:24" ht="12.75">
      <c r="Q103" s="150">
        <f t="shared" si="6"/>
        <v>-2.4522613065326553</v>
      </c>
      <c r="R103" s="150">
        <f t="shared" si="7"/>
        <v>0.09760479579052216</v>
      </c>
      <c r="S103" s="150">
        <f t="shared" si="8"/>
        <v>0.08544418276396065</v>
      </c>
      <c r="V103" s="150">
        <f t="shared" si="11"/>
        <v>2.55276381909547</v>
      </c>
      <c r="W103" s="150">
        <f t="shared" si="9"/>
        <v>0.09410074944480118</v>
      </c>
      <c r="X103" s="150">
        <f t="shared" si="10"/>
        <v>0.09328029602844021</v>
      </c>
    </row>
    <row r="104" spans="17:24" ht="12.75">
      <c r="Q104" s="150">
        <f t="shared" si="6"/>
        <v>-2.356783919597982</v>
      </c>
      <c r="R104" s="150">
        <f t="shared" si="7"/>
        <v>0.10227142008490027</v>
      </c>
      <c r="S104" s="150">
        <f t="shared" si="8"/>
        <v>0.08099433393310043</v>
      </c>
      <c r="V104" s="150">
        <f t="shared" si="11"/>
        <v>2.6582914572864245</v>
      </c>
      <c r="W104" s="150">
        <f t="shared" si="9"/>
        <v>0.08952885087068402</v>
      </c>
      <c r="X104" s="150">
        <f t="shared" si="10"/>
        <v>0.09788149121043639</v>
      </c>
    </row>
    <row r="105" spans="17:24" ht="12.75">
      <c r="Q105" s="150">
        <f t="shared" si="6"/>
        <v>-2.2613065326633084</v>
      </c>
      <c r="R105" s="150">
        <f t="shared" si="7"/>
        <v>0.10696261818664514</v>
      </c>
      <c r="S105" s="150">
        <f t="shared" si="8"/>
        <v>0.07663398075252802</v>
      </c>
      <c r="V105" s="150">
        <f t="shared" si="11"/>
        <v>2.763819095477379</v>
      </c>
      <c r="W105" s="150">
        <f t="shared" si="9"/>
        <v>0.08500743048319052</v>
      </c>
      <c r="X105" s="150">
        <f t="shared" si="10"/>
        <v>0.10250267267409584</v>
      </c>
    </row>
    <row r="106" spans="17:24" ht="12.75">
      <c r="Q106" s="150">
        <f t="shared" si="6"/>
        <v>-2.165829145728635</v>
      </c>
      <c r="R106" s="150">
        <f t="shared" si="7"/>
        <v>0.11166173526182148</v>
      </c>
      <c r="S106" s="150">
        <f t="shared" si="8"/>
        <v>0.07237402767400294</v>
      </c>
      <c r="V106" s="150">
        <f t="shared" si="11"/>
        <v>2.869346733668334</v>
      </c>
      <c r="W106" s="150">
        <f t="shared" si="9"/>
        <v>0.08055170150308355</v>
      </c>
      <c r="X106" s="150">
        <f t="shared" si="10"/>
        <v>0.10712571965844346</v>
      </c>
    </row>
    <row r="107" spans="17:24" ht="12.75">
      <c r="Q107" s="150">
        <f t="shared" si="6"/>
        <v>-2.0703517587939615</v>
      </c>
      <c r="R107" s="150">
        <f t="shared" si="7"/>
        <v>0.11635132402672585</v>
      </c>
      <c r="S107" s="150">
        <f t="shared" si="8"/>
        <v>0.06822424024507077</v>
      </c>
      <c r="V107" s="150">
        <f t="shared" si="11"/>
        <v>2.9748743718592885</v>
      </c>
      <c r="W107" s="150">
        <f t="shared" si="9"/>
        <v>0.07617570790483719</v>
      </c>
      <c r="X107" s="150">
        <f t="shared" si="10"/>
        <v>0.11173166391182682</v>
      </c>
    </row>
    <row r="108" spans="17:24" ht="12.75">
      <c r="Q108" s="150">
        <f t="shared" si="6"/>
        <v>-1.974874371859288</v>
      </c>
      <c r="R108" s="150">
        <f t="shared" si="7"/>
        <v>0.12101324201534447</v>
      </c>
      <c r="S108" s="150">
        <f t="shared" si="8"/>
        <v>0.06419323806991518</v>
      </c>
      <c r="V108" s="150">
        <f t="shared" si="11"/>
        <v>3.080402010050243</v>
      </c>
      <c r="W108" s="150">
        <f t="shared" si="9"/>
        <v>0.07189227550786234</v>
      </c>
      <c r="X108" s="150">
        <f t="shared" si="10"/>
        <v>0.11630080773147233</v>
      </c>
    </row>
    <row r="109" spans="17:24" ht="12.75">
      <c r="Q109" s="150">
        <f t="shared" si="6"/>
        <v>-1.8793969849246146</v>
      </c>
      <c r="R109" s="150">
        <f t="shared" si="7"/>
        <v>0.12562875959482356</v>
      </c>
      <c r="S109" s="150">
        <f t="shared" si="8"/>
        <v>0.060288498472834406</v>
      </c>
      <c r="V109" s="150">
        <f t="shared" si="11"/>
        <v>3.185929648241198</v>
      </c>
      <c r="W109" s="150">
        <f t="shared" si="9"/>
        <v>0.06771297760942455</v>
      </c>
      <c r="X109" s="150">
        <f t="shared" si="10"/>
        <v>0.12081285470202062</v>
      </c>
    </row>
    <row r="110" spans="17:24" ht="12.75">
      <c r="Q110" s="150">
        <f t="shared" si="6"/>
        <v>-1.7839195979899412</v>
      </c>
      <c r="R110" s="150">
        <f t="shared" si="7"/>
        <v>0.13017867795546464</v>
      </c>
      <c r="S110" s="150">
        <f t="shared" si="8"/>
        <v>0.056516370211721144</v>
      </c>
      <c r="V110" s="150">
        <f t="shared" si="11"/>
        <v>3.2914572864321525</v>
      </c>
      <c r="W110" s="150">
        <f t="shared" si="9"/>
        <v>0.06364811477371878</v>
      </c>
      <c r="X110" s="150">
        <f t="shared" si="10"/>
        <v>0.12524705206592543</v>
      </c>
    </row>
    <row r="111" spans="17:24" ht="12.75">
      <c r="Q111" s="150">
        <f t="shared" si="6"/>
        <v>-1.6884422110552677</v>
      </c>
      <c r="R111" s="150">
        <f t="shared" si="7"/>
        <v>0.1346434561382434</v>
      </c>
      <c r="S111" s="150">
        <f t="shared" si="8"/>
        <v>0.052882096500537705</v>
      </c>
      <c r="V111" s="150">
        <f t="shared" si="11"/>
        <v>3.396984924623107</v>
      </c>
      <c r="W111" s="150">
        <f t="shared" si="9"/>
        <v>0.059706708219026246</v>
      </c>
      <c r="X111" s="150">
        <f t="shared" si="10"/>
        <v>0.12958234344665412</v>
      </c>
    </row>
    <row r="112" spans="17:24" ht="12.75">
      <c r="Q112" s="150">
        <f t="shared" si="6"/>
        <v>-1.5929648241205943</v>
      </c>
      <c r="R112" s="150">
        <f t="shared" si="7"/>
        <v>0.13900334600692982</v>
      </c>
      <c r="S112" s="150">
        <f t="shared" si="8"/>
        <v>0.04938984652724308</v>
      </c>
      <c r="V112" s="150">
        <f t="shared" si="11"/>
        <v>3.502512562814062</v>
      </c>
      <c r="W112" s="150">
        <f t="shared" si="9"/>
        <v>0.05589650609075025</v>
      </c>
      <c r="X112" s="150">
        <f t="shared" si="10"/>
        <v>0.1337975304460271</v>
      </c>
    </row>
    <row r="113" spans="17:24" ht="12.75">
      <c r="Q113" s="150">
        <f t="shared" si="6"/>
        <v>-1.4974874371859208</v>
      </c>
      <c r="R113" s="150">
        <f t="shared" si="7"/>
        <v>0.1432385339265079</v>
      </c>
      <c r="S113" s="150">
        <f t="shared" si="8"/>
        <v>0.04604275459717018</v>
      </c>
      <c r="V113" s="150">
        <f t="shared" si="11"/>
        <v>3.6080402010050165</v>
      </c>
      <c r="W113" s="150">
        <f t="shared" si="9"/>
        <v>0.05222400177407576</v>
      </c>
      <c r="X113" s="150">
        <f t="shared" si="10"/>
        <v>0.13787144145395072</v>
      </c>
    </row>
    <row r="114" spans="17:24" ht="12.75">
      <c r="Q114" s="150">
        <f t="shared" si="6"/>
        <v>-1.4020100502512474</v>
      </c>
      <c r="R114" s="150">
        <f t="shared" si="7"/>
        <v>0.1473292877776059</v>
      </c>
      <c r="S114" s="150">
        <f t="shared" si="8"/>
        <v>0.042842965991387</v>
      </c>
      <c r="V114" s="150">
        <f t="shared" si="11"/>
        <v>3.713567839195971</v>
      </c>
      <c r="W114" s="150">
        <f t="shared" si="9"/>
        <v>0.048694463287185435</v>
      </c>
      <c r="X114" s="150">
        <f t="shared" si="10"/>
        <v>0.14178310584623116</v>
      </c>
    </row>
    <row r="115" spans="17:24" ht="12.75">
      <c r="Q115" s="150">
        <f t="shared" si="6"/>
        <v>-1.306532663316574</v>
      </c>
      <c r="R115" s="150">
        <f t="shared" si="7"/>
        <v>0.1512561078207625</v>
      </c>
      <c r="S115" s="150">
        <f t="shared" si="8"/>
        <v>0.039791688604745516</v>
      </c>
      <c r="V115" s="150">
        <f t="shared" si="11"/>
        <v>3.819095477386926</v>
      </c>
      <c r="W115" s="150">
        <f t="shared" si="9"/>
        <v>0.04531197270507951</v>
      </c>
      <c r="X115" s="150">
        <f t="shared" si="10"/>
        <v>0.14551193160783155</v>
      </c>
    </row>
    <row r="116" spans="17:24" ht="12.75">
      <c r="Q116" s="150">
        <f t="shared" si="6"/>
        <v>-1.2110552763819005</v>
      </c>
      <c r="R116" s="150">
        <f t="shared" si="7"/>
        <v>0.1549998798270638</v>
      </c>
      <c r="S116" s="150">
        <f t="shared" si="8"/>
        <v>0.036889249418507415</v>
      </c>
      <c r="V116" s="150">
        <f t="shared" si="11"/>
        <v>3.9246231155778806</v>
      </c>
      <c r="W116" s="150">
        <f t="shared" si="9"/>
        <v>0.042079474495306766</v>
      </c>
      <c r="X116" s="150">
        <f t="shared" si="10"/>
        <v>0.14903788430820783</v>
      </c>
    </row>
    <row r="117" spans="17:24" ht="12.75">
      <c r="Q117" s="150">
        <f t="shared" si="6"/>
        <v>-1.115577889447227</v>
      </c>
      <c r="R117" s="150">
        <f t="shared" si="7"/>
        <v>0.15854202881522217</v>
      </c>
      <c r="S117" s="150">
        <f t="shared" si="8"/>
        <v>0.03413515486679105</v>
      </c>
      <c r="V117" s="150">
        <f t="shared" si="11"/>
        <v>4.030150753768836</v>
      </c>
      <c r="W117" s="150">
        <f t="shared" si="9"/>
        <v>0.03899883160008593</v>
      </c>
      <c r="X117" s="150">
        <f t="shared" si="10"/>
        <v>0.15234166527513213</v>
      </c>
    </row>
    <row r="118" spans="17:24" ht="12.75">
      <c r="Q118" s="150">
        <f t="shared" si="6"/>
        <v>-1.0201005025125536</v>
      </c>
      <c r="R118" s="150">
        <f t="shared" si="7"/>
        <v>0.1618646716814316</v>
      </c>
      <c r="S118" s="150">
        <f t="shared" si="8"/>
        <v>0.031528154173569356</v>
      </c>
      <c r="V118" s="150">
        <f t="shared" si="11"/>
        <v>4.13567839195979</v>
      </c>
      <c r="W118" s="150">
        <f t="shared" si="9"/>
        <v>0.03607088807374648</v>
      </c>
      <c r="X118" s="150">
        <f t="shared" si="10"/>
        <v>0.15540488676605693</v>
      </c>
    </row>
    <row r="119" spans="17:24" ht="12.75">
      <c r="Q119" s="150">
        <f t="shared" si="6"/>
        <v>-0.9246231155778802</v>
      </c>
      <c r="R119" s="150">
        <f t="shared" si="7"/>
        <v>0.16495076697886207</v>
      </c>
      <c r="S119" s="150">
        <f t="shared" si="8"/>
        <v>0.029066304766358388</v>
      </c>
      <c r="V119" s="150">
        <f t="shared" si="11"/>
        <v>4.241206030150745</v>
      </c>
      <c r="W119" s="150">
        <f t="shared" si="9"/>
        <v>0.0332955370791312</v>
      </c>
      <c r="X119" s="150">
        <f t="shared" si="10"/>
        <v>0.15821024192335278</v>
      </c>
    </row>
    <row r="120" spans="17:24" ht="12.75">
      <c r="Q120" s="150">
        <f t="shared" si="6"/>
        <v>-0.8291457286432069</v>
      </c>
      <c r="R120" s="150">
        <f t="shared" si="7"/>
        <v>0.1677842600995647</v>
      </c>
      <c r="S120" s="150">
        <f t="shared" si="8"/>
        <v>0.026747038912743167</v>
      </c>
      <c r="V120" s="150">
        <f t="shared" si="11"/>
        <v>4.3467336683417</v>
      </c>
      <c r="W120" s="150">
        <f t="shared" si="9"/>
        <v>0.0306717930602514</v>
      </c>
      <c r="X120" s="150">
        <f t="shared" si="10"/>
        <v>0.16074166732277426</v>
      </c>
    </row>
    <row r="121" spans="17:24" ht="12.75">
      <c r="Q121" s="150">
        <f t="shared" si="6"/>
        <v>-0.7336683417085336</v>
      </c>
      <c r="R121" s="150">
        <f t="shared" si="7"/>
        <v>0.1703502221335222</v>
      </c>
      <c r="S121" s="150">
        <f t="shared" si="8"/>
        <v>0.024567230775067544</v>
      </c>
      <c r="V121" s="150">
        <f t="shared" si="11"/>
        <v>4.452261306532654</v>
      </c>
      <c r="W121" s="150">
        <f t="shared" si="9"/>
        <v>0.02819786693946212</v>
      </c>
      <c r="X121" s="150">
        <f t="shared" si="10"/>
        <v>0.16298449598367984</v>
      </c>
    </row>
    <row r="122" spans="17:24" ht="12.75">
      <c r="Q122" s="150">
        <f t="shared" si="6"/>
        <v>-0.6381909547738602</v>
      </c>
      <c r="R122" s="150">
        <f t="shared" si="7"/>
        <v>0.17263498072779782</v>
      </c>
      <c r="S122" s="150">
        <f t="shared" si="8"/>
        <v>0.022523263135490593</v>
      </c>
      <c r="V122" s="150">
        <f t="shared" si="11"/>
        <v>4.557788944723609</v>
      </c>
      <c r="W122" s="150">
        <f t="shared" si="9"/>
        <v>0.025871243233908</v>
      </c>
      <c r="X122" s="150">
        <f t="shared" si="10"/>
        <v>0.16492559880453309</v>
      </c>
    </row>
    <row r="123" spans="17:24" ht="12.75">
      <c r="Q123" s="150">
        <f t="shared" si="6"/>
        <v>-0.5427135678391869</v>
      </c>
      <c r="R123" s="150">
        <f t="shared" si="7"/>
        <v>0.17462624134292334</v>
      </c>
      <c r="S123" s="150">
        <f t="shared" si="8"/>
        <v>0.020611093106679267</v>
      </c>
      <c r="V123" s="150">
        <f t="shared" si="11"/>
        <v>4.663316582914564</v>
      </c>
      <c r="W123" s="150">
        <f t="shared" si="9"/>
        <v>0.02368875804599475</v>
      </c>
      <c r="X123" s="150">
        <f t="shared" si="10"/>
        <v>0.16655351251698847</v>
      </c>
    </row>
    <row r="124" spans="17:24" ht="12.75">
      <c r="Q124" s="150">
        <f t="shared" si="6"/>
        <v>-0.44723618090451356</v>
      </c>
      <c r="R124" s="150">
        <f t="shared" si="7"/>
        <v>0.17631319740304574</v>
      </c>
      <c r="S124" s="150">
        <f t="shared" si="8"/>
        <v>0.01882631621117057</v>
      </c>
      <c r="V124" s="150">
        <f t="shared" si="11"/>
        <v>4.768844221105518</v>
      </c>
      <c r="W124" s="150">
        <f t="shared" si="9"/>
        <v>0.021646676954071485</v>
      </c>
      <c r="X124" s="150">
        <f t="shared" si="10"/>
        <v>0.16785855241464487</v>
      </c>
    </row>
    <row r="125" spans="17:24" ht="12.75">
      <c r="Q125" s="150">
        <f t="shared" si="6"/>
        <v>-0.3517587939698402</v>
      </c>
      <c r="R125" s="150">
        <f t="shared" si="7"/>
        <v>0.17768662795966694</v>
      </c>
      <c r="S125" s="150">
        <f t="shared" si="8"/>
        <v>0.017164228283437277</v>
      </c>
      <c r="V125" s="150">
        <f t="shared" si="11"/>
        <v>4.874371859296473</v>
      </c>
      <c r="W125" s="150">
        <f t="shared" si="9"/>
        <v>0.019740771910215206</v>
      </c>
      <c r="X125" s="150">
        <f t="shared" si="10"/>
        <v>0.1688329083058498</v>
      </c>
    </row>
    <row r="126" spans="17:24" ht="12.75">
      <c r="Q126" s="150">
        <f t="shared" si="6"/>
        <v>-0.2562814070351669</v>
      </c>
      <c r="R126" s="150">
        <f t="shared" si="7"/>
        <v>0.17873898163433657</v>
      </c>
      <c r="S126" s="150">
        <f t="shared" si="8"/>
        <v>0.015619884721528216</v>
      </c>
      <c r="V126" s="150">
        <f t="shared" si="11"/>
        <v>4.979899497487428</v>
      </c>
      <c r="W126" s="150">
        <f t="shared" si="9"/>
        <v>0.017966396339835718</v>
      </c>
      <c r="X126" s="150">
        <f t="shared" si="10"/>
        <v>0.16947072236064095</v>
      </c>
    </row>
    <row r="127" spans="17:24" ht="12.75">
      <c r="Q127" s="150">
        <f t="shared" si="6"/>
        <v>-0.16080402010049352</v>
      </c>
      <c r="R127" s="150">
        <f t="shared" si="7"/>
        <v>0.1794644457712324</v>
      </c>
      <c r="S127" s="150">
        <f t="shared" si="8"/>
        <v>0.014188156688516303</v>
      </c>
      <c r="V127" s="150">
        <f t="shared" si="11"/>
        <v>5.0854271356783824</v>
      </c>
      <c r="W127" s="150">
        <f t="shared" si="9"/>
        <v>0.01631855773065058</v>
      </c>
      <c r="X127" s="150">
        <f t="shared" si="10"/>
        <v>0.16976814776629293</v>
      </c>
    </row>
    <row r="128" spans="17:24" ht="12.75">
      <c r="Q128" s="150">
        <f t="shared" si="6"/>
        <v>-0.06532663316582016</v>
      </c>
      <c r="R128" s="150">
        <f t="shared" si="7"/>
        <v>0.179858999913631</v>
      </c>
      <c r="S128" s="150">
        <f t="shared" si="8"/>
        <v>0.012863783936658846</v>
      </c>
      <c r="V128" s="150">
        <f t="shared" si="11"/>
        <v>5.190954773869337</v>
      </c>
      <c r="W128" s="150">
        <f t="shared" si="9"/>
        <v>0.014791987094381889</v>
      </c>
      <c r="X128" s="150">
        <f t="shared" si="10"/>
        <v>0.16972338736976725</v>
      </c>
    </row>
    <row r="129" spans="17:24" ht="12.75">
      <c r="Q129" s="150">
        <f t="shared" si="6"/>
        <v>0.030150753768853206</v>
      </c>
      <c r="R129" s="150">
        <f t="shared" si="7"/>
        <v>0.17992045291592515</v>
      </c>
      <c r="S129" s="150">
        <f t="shared" si="8"/>
        <v>0.011641423998061694</v>
      </c>
      <c r="V129" s="150">
        <f t="shared" si="11"/>
        <v>5.296482412060292</v>
      </c>
      <c r="W129" s="150">
        <f t="shared" si="9"/>
        <v>0.013381204781385282</v>
      </c>
      <c r="X129" s="150">
        <f t="shared" si="10"/>
        <v>0.1693367117639862</v>
      </c>
    </row>
    <row r="130" spans="17:24" ht="12.75">
      <c r="Q130" s="150">
        <f t="shared" si="6"/>
        <v>0.12562814070352657</v>
      </c>
      <c r="R130" s="150">
        <f t="shared" si="7"/>
        <v>0.17964846321188185</v>
      </c>
      <c r="S130" s="150">
        <f t="shared" si="8"/>
        <v>0.010515697553773094</v>
      </c>
      <c r="V130" s="150">
        <f t="shared" si="11"/>
        <v>5.4020100502512465</v>
      </c>
      <c r="W130" s="150">
        <f t="shared" si="9"/>
        <v>0.012080582224567421</v>
      </c>
      <c r="X130" s="150">
        <f t="shared" si="10"/>
        <v>0.16861045656327572</v>
      </c>
    </row>
    <row r="131" spans="17:24" ht="12.75">
      <c r="Q131" s="150">
        <f t="shared" si="6"/>
        <v>0.22110552763819993</v>
      </c>
      <c r="R131" s="150">
        <f t="shared" si="7"/>
        <v>0.17904454197682693</v>
      </c>
      <c r="S131" s="150">
        <f t="shared" si="8"/>
        <v>0.009481229857783435</v>
      </c>
      <c r="V131" s="150">
        <f t="shared" si="11"/>
        <v>5.507537688442201</v>
      </c>
      <c r="W131" s="150">
        <f t="shared" si="9"/>
        <v>0.010884399282787194</v>
      </c>
      <c r="X131" s="150">
        <f t="shared" si="10"/>
        <v>0.1675489989063589</v>
      </c>
    </row>
    <row r="132" spans="17:24" ht="12.75">
      <c r="Q132" s="150">
        <f aca="true" t="shared" si="12" ref="Q132:Q195">Q131+$P$13</f>
        <v>0.3165829145728733</v>
      </c>
      <c r="R132" s="150">
        <f aca="true" t="shared" si="13" ref="R132:R195">NORMDIST(Q132,0,$P$10,0)</f>
        <v>0.17811203914279605</v>
      </c>
      <c r="S132" s="150">
        <f aca="true" t="shared" si="14" ref="S132:S195">NORMDIST(Q132,$S$2,$P$10,0)</f>
        <v>0.008532688152679694</v>
      </c>
      <c r="V132" s="150">
        <f t="shared" si="11"/>
        <v>5.613065326633156</v>
      </c>
      <c r="W132" s="150">
        <f aca="true" t="shared" si="15" ref="W132:W195">NORMDIST(V132,0,$U$10,0)</f>
        <v>0.009786896944062724</v>
      </c>
      <c r="X132" s="150">
        <f aca="true" t="shared" si="16" ref="X132:X195">NORMDIST(V132,$X$2,$U$10,0)</f>
        <v>0.16615871351761977</v>
      </c>
    </row>
    <row r="133" spans="17:24" ht="12.75">
      <c r="Q133" s="150">
        <f t="shared" si="12"/>
        <v>0.4120603015075467</v>
      </c>
      <c r="R133" s="150">
        <f t="shared" si="13"/>
        <v>0.17685611244772861</v>
      </c>
      <c r="S133" s="150">
        <f t="shared" si="14"/>
        <v>0.007664815069146854</v>
      </c>
      <c r="V133" s="150">
        <f aca="true" t="shared" si="17" ref="V133:V196">V132+$U$13</f>
        <v>5.7185929648241105</v>
      </c>
      <c r="W133" s="150">
        <f t="shared" si="15"/>
        <v>0.00878232523411811</v>
      </c>
      <c r="X133" s="150">
        <f t="shared" si="16"/>
        <v>0.16444790894371547</v>
      </c>
    </row>
    <row r="134" spans="17:24" ht="12.75">
      <c r="Q134" s="150">
        <f t="shared" si="12"/>
        <v>0.50753768844222</v>
      </c>
      <c r="R134" s="150">
        <f t="shared" si="13"/>
        <v>0.17528367991880278</v>
      </c>
      <c r="S134" s="150">
        <f t="shared" si="14"/>
        <v>0.00687245805170643</v>
      </c>
      <c r="V134" s="150">
        <f t="shared" si="17"/>
        <v>5.824120603015065</v>
      </c>
      <c r="W134" s="150">
        <f t="shared" si="15"/>
        <v>0.007864986255106891</v>
      </c>
      <c r="X134" s="150">
        <f t="shared" si="16"/>
        <v>0.16242674485783967</v>
      </c>
    </row>
    <row r="135" spans="17:24" ht="12.75">
      <c r="Q135" s="150">
        <f t="shared" si="12"/>
        <v>0.6030150753768934</v>
      </c>
      <c r="R135" s="150">
        <f t="shared" si="13"/>
        <v>0.17340335640238932</v>
      </c>
      <c r="S135" s="150">
        <f t="shared" si="14"/>
        <v>0.006150594897751687</v>
      </c>
      <c r="V135" s="150">
        <f t="shared" si="17"/>
        <v>5.92964824120602</v>
      </c>
      <c r="W135" s="150">
        <f t="shared" si="15"/>
        <v>0.007029272351958435</v>
      </c>
      <c r="X135" s="150">
        <f t="shared" si="16"/>
        <v>0.160107131583119</v>
      </c>
    </row>
    <row r="136" spans="17:24" ht="12.75">
      <c r="Q136" s="150">
        <f t="shared" si="12"/>
        <v>0.6984924623115667</v>
      </c>
      <c r="R136" s="150">
        <f t="shared" si="13"/>
        <v>0.17122537495533377</v>
      </c>
      <c r="S136" s="150">
        <f t="shared" si="14"/>
        <v>0.005494355535922742</v>
      </c>
      <c r="V136" s="150">
        <f t="shared" si="17"/>
        <v>6.0351758793969745</v>
      </c>
      <c r="W136" s="150">
        <f t="shared" si="15"/>
        <v>0.006269699469129782</v>
      </c>
      <c r="X136" s="150">
        <f t="shared" si="16"/>
        <v>0.15750261322520528</v>
      </c>
    </row>
    <row r="137" spans="17:24" ht="12.75">
      <c r="Q137" s="150">
        <f t="shared" si="12"/>
        <v>0.79396984924624</v>
      </c>
      <c r="R137" s="150">
        <f t="shared" si="13"/>
        <v>0.1687614941010741</v>
      </c>
      <c r="S137" s="150">
        <f t="shared" si="14"/>
        <v>0.004899040203118674</v>
      </c>
      <c r="V137" s="150">
        <f t="shared" si="17"/>
        <v>6.140703517587929</v>
      </c>
      <c r="W137" s="150">
        <f t="shared" si="15"/>
        <v>0.005580935818226111</v>
      </c>
      <c r="X137" s="150">
        <f t="shared" si="16"/>
        <v>0.15462823601800038</v>
      </c>
    </row>
    <row r="138" spans="17:24" ht="12.75">
      <c r="Q138" s="150">
        <f t="shared" si="12"/>
        <v>0.8894472361809134</v>
      </c>
      <c r="R138" s="150">
        <f t="shared" si="13"/>
        <v>0.16602489212643842</v>
      </c>
      <c r="S138" s="150">
        <f t="shared" si="14"/>
        <v>0.004360134207031275</v>
      </c>
      <c r="V138" s="150">
        <f t="shared" si="17"/>
        <v>6.246231155778884</v>
      </c>
      <c r="W138" s="150">
        <f t="shared" si="15"/>
        <v>0.004957826026781299</v>
      </c>
      <c r="X138" s="150">
        <f t="shared" si="16"/>
        <v>0.15150040367204887</v>
      </c>
    </row>
    <row r="139" spans="17:24" ht="12.75">
      <c r="Q139" s="150">
        <f t="shared" si="12"/>
        <v>0.9849246231155867</v>
      </c>
      <c r="R139" s="150">
        <f t="shared" si="13"/>
        <v>0.16303004974815172</v>
      </c>
      <c r="S139" s="150">
        <f t="shared" si="14"/>
        <v>0.0038733194831603794</v>
      </c>
      <c r="V139" s="150">
        <f t="shared" si="17"/>
        <v>6.351758793969839</v>
      </c>
      <c r="W139" s="150">
        <f t="shared" si="15"/>
        <v>0.004395410980437844</v>
      </c>
      <c r="X139" s="150">
        <f t="shared" si="16"/>
        <v>0.1481367216694945</v>
      </c>
    </row>
    <row r="140" spans="17:24" ht="12.75">
      <c r="Q140" s="150">
        <f t="shared" si="12"/>
        <v>1.08040201005026</v>
      </c>
      <c r="R140" s="150">
        <f t="shared" si="13"/>
        <v>0.15979262260980343</v>
      </c>
      <c r="S140" s="150">
        <f t="shared" si="14"/>
        <v>0.0034344831720696137</v>
      </c>
      <c r="V140" s="150">
        <f t="shared" si="17"/>
        <v>6.457286432160793</v>
      </c>
      <c r="W140" s="150">
        <f t="shared" si="15"/>
        <v>0.003888943604959295</v>
      </c>
      <c r="X140" s="150">
        <f t="shared" si="16"/>
        <v>0.1445558325703244</v>
      </c>
    </row>
    <row r="141" spans="17:24" ht="12.75">
      <c r="Q141" s="150">
        <f t="shared" si="12"/>
        <v>1.1758793969849335</v>
      </c>
      <c r="R141" s="150">
        <f t="shared" si="13"/>
        <v>0.15632930517839586</v>
      </c>
      <c r="S141" s="150">
        <f t="shared" si="14"/>
        <v>0.003039723454465598</v>
      </c>
      <c r="V141" s="150">
        <f t="shared" si="17"/>
        <v>6.562814070351748</v>
      </c>
      <c r="W141" s="150">
        <f t="shared" si="15"/>
        <v>0.003433900861206186</v>
      </c>
      <c r="X141" s="150">
        <f t="shared" si="16"/>
        <v>0.14077724448033038</v>
      </c>
    </row>
    <row r="142" spans="17:24" ht="12.75">
      <c r="Q142" s="150">
        <f t="shared" si="12"/>
        <v>1.271356783919607</v>
      </c>
      <c r="R142" s="150">
        <f t="shared" si="13"/>
        <v>0.15265768769318022</v>
      </c>
      <c r="S142" s="150">
        <f t="shared" si="14"/>
        <v>0.002685352888890321</v>
      </c>
      <c r="V142" s="150">
        <f t="shared" si="17"/>
        <v>6.668341708542703</v>
      </c>
      <c r="W142" s="150">
        <f t="shared" si="15"/>
        <v>0.0030259922457828</v>
      </c>
      <c r="X142" s="150">
        <f t="shared" si="16"/>
        <v>0.1368211548809379</v>
      </c>
    </row>
    <row r="143" spans="17:24" ht="12.75">
      <c r="Q143" s="150">
        <f t="shared" si="12"/>
        <v>1.3668341708542804</v>
      </c>
      <c r="R143" s="150">
        <f t="shared" si="13"/>
        <v>0.1487961078773294</v>
      </c>
      <c r="S143" s="150">
        <f t="shared" si="14"/>
        <v>0.002367899499803008</v>
      </c>
      <c r="V143" s="150">
        <f t="shared" si="17"/>
        <v>6.773869346733657</v>
      </c>
      <c r="W143" s="150">
        <f t="shared" si="15"/>
        <v>0.002661165102981984</v>
      </c>
      <c r="X143" s="150">
        <f t="shared" si="16"/>
        <v>0.13270827203466162</v>
      </c>
    </row>
    <row r="144" spans="17:24" ht="12.75">
      <c r="Q144" s="150">
        <f t="shared" si="12"/>
        <v>1.4623115577889538</v>
      </c>
      <c r="R144" s="150">
        <f t="shared" si="13"/>
        <v>0.14476349915463743</v>
      </c>
      <c r="S144" s="150">
        <f t="shared" si="14"/>
        <v>0.0020841058630217965</v>
      </c>
      <c r="V144" s="150">
        <f t="shared" si="17"/>
        <v>6.879396984924612</v>
      </c>
      <c r="W144" s="150">
        <f t="shared" si="15"/>
        <v>0.0023356070604594334</v>
      </c>
      <c r="X144" s="150">
        <f t="shared" si="16"/>
        <v>0.12845963615803796</v>
      </c>
    </row>
    <row r="145" spans="17:24" ht="12.75">
      <c r="Q145" s="150">
        <f t="shared" si="12"/>
        <v>1.5577889447236273</v>
      </c>
      <c r="R145" s="150">
        <f t="shared" si="13"/>
        <v>0.14057923711888864</v>
      </c>
      <c r="S145" s="150">
        <f t="shared" si="14"/>
        <v>0.0018309264313416407</v>
      </c>
      <c r="V145" s="150">
        <f t="shared" si="17"/>
        <v>6.984924623115567</v>
      </c>
      <c r="W145" s="150">
        <f t="shared" si="15"/>
        <v>0.002045745902350131</v>
      </c>
      <c r="X145" s="150">
        <f t="shared" si="16"/>
        <v>0.12409644249773717</v>
      </c>
    </row>
    <row r="146" spans="17:24" ht="12.75">
      <c r="Q146" s="150">
        <f t="shared" si="12"/>
        <v>1.6532663316583007</v>
      </c>
      <c r="R146" s="150">
        <f t="shared" si="13"/>
        <v>0.1362629859833115</v>
      </c>
      <c r="S146" s="150">
        <f t="shared" si="14"/>
        <v>0.0016055233360952265</v>
      </c>
      <c r="V146" s="150">
        <f t="shared" si="17"/>
        <v>7.090452261306521</v>
      </c>
      <c r="W146" s="150">
        <f t="shared" si="15"/>
        <v>0.001788247189926623</v>
      </c>
      <c r="X146" s="150">
        <f t="shared" si="16"/>
        <v>0.11963986835710705</v>
      </c>
    </row>
    <row r="147" spans="17:24" ht="12.75">
      <c r="Q147" s="150">
        <f t="shared" si="12"/>
        <v>1.7487437185929742</v>
      </c>
      <c r="R147" s="150">
        <f t="shared" si="13"/>
        <v>0.13183454669257813</v>
      </c>
      <c r="S147" s="150">
        <f t="shared" si="14"/>
        <v>0.0014052608909281964</v>
      </c>
      <c r="V147" s="150">
        <f t="shared" si="17"/>
        <v>7.195979899497476</v>
      </c>
      <c r="W147" s="150">
        <f t="shared" si="15"/>
        <v>0.0015600099320377064</v>
      </c>
      <c r="X147" s="150">
        <f t="shared" si="16"/>
        <v>0.11511090600215691</v>
      </c>
    </row>
    <row r="148" spans="17:24" ht="12.75">
      <c r="Q148" s="150">
        <f t="shared" si="12"/>
        <v>1.8442211055276476</v>
      </c>
      <c r="R148" s="150">
        <f t="shared" si="13"/>
        <v>0.12731370831151695</v>
      </c>
      <c r="S148" s="150">
        <f t="shared" si="14"/>
        <v>0.001227699012557569</v>
      </c>
      <c r="V148" s="150">
        <f t="shared" si="17"/>
        <v>7.301507537688431</v>
      </c>
      <c r="W148" s="150">
        <f t="shared" si="15"/>
        <v>0.0013581605961056403</v>
      </c>
      <c r="X148" s="150">
        <f t="shared" si="16"/>
        <v>0.11053020323098635</v>
      </c>
    </row>
    <row r="149" spans="17:24" ht="12.75">
      <c r="Q149" s="150">
        <f t="shared" si="12"/>
        <v>1.939698492462321</v>
      </c>
      <c r="R149" s="150">
        <f t="shared" si="13"/>
        <v>0.12272010421484497</v>
      </c>
      <c r="S149" s="150">
        <f t="shared" si="14"/>
        <v>0.001070585760194812</v>
      </c>
      <c r="V149" s="150">
        <f t="shared" si="17"/>
        <v>7.407035175879385</v>
      </c>
      <c r="W149" s="150">
        <f t="shared" si="15"/>
        <v>0.0011800457360373994</v>
      </c>
      <c r="X149" s="150">
        <f t="shared" si="16"/>
        <v>0.1059179132223616</v>
      </c>
    </row>
    <row r="150" spans="17:24" ht="12.75">
      <c r="Q150" s="150">
        <f t="shared" si="12"/>
        <v>2.0351758793969945</v>
      </c>
      <c r="R150" s="150">
        <f t="shared" si="13"/>
        <v>0.11807307449291439</v>
      </c>
      <c r="S150" s="150">
        <f t="shared" si="14"/>
        <v>0.0009318491810399089</v>
      </c>
      <c r="V150" s="150">
        <f t="shared" si="17"/>
        <v>7.51256281407034</v>
      </c>
      <c r="W150" s="150">
        <f t="shared" si="15"/>
        <v>0.001023223496634778</v>
      </c>
      <c r="X150" s="150">
        <f t="shared" si="16"/>
        <v>0.10129355509134418</v>
      </c>
    </row>
    <row r="151" spans="17:24" ht="12.75">
      <c r="Q151" s="150">
        <f t="shared" si="12"/>
        <v>2.130653266331668</v>
      </c>
      <c r="R151" s="150">
        <f t="shared" si="13"/>
        <v>0.11339153586210808</v>
      </c>
      <c r="S151" s="150">
        <f t="shared" si="14"/>
        <v>0.0008095886341598666</v>
      </c>
      <c r="V151" s="150">
        <f t="shared" si="17"/>
        <v>7.618090452261295</v>
      </c>
      <c r="W151" s="150">
        <f t="shared" si="15"/>
        <v>0.0008854542355504618</v>
      </c>
      <c r="X151" s="150">
        <f t="shared" si="16"/>
        <v>0.09667588637664172</v>
      </c>
    </row>
    <row r="152" spans="17:24" ht="12.75">
      <c r="Q152" s="150">
        <f t="shared" si="12"/>
        <v>2.2261306532663414</v>
      </c>
      <c r="R152" s="150">
        <f t="shared" si="13"/>
        <v>0.10869386022774673</v>
      </c>
      <c r="S152" s="150">
        <f t="shared" si="14"/>
        <v>0.0007020657494917748</v>
      </c>
      <c r="V152" s="150">
        <f t="shared" si="17"/>
        <v>7.723618090452249</v>
      </c>
      <c r="W152" s="150">
        <f t="shared" si="15"/>
        <v>0.0007646904840726592</v>
      </c>
      <c r="X152" s="150">
        <f t="shared" si="16"/>
        <v>0.09208278846987736</v>
      </c>
    </row>
    <row r="153" spans="17:24" ht="12.75">
      <c r="Q153" s="150">
        <f t="shared" si="12"/>
        <v>2.321608040201015</v>
      </c>
      <c r="R153" s="150">
        <f t="shared" si="13"/>
        <v>0.10399776289499525</v>
      </c>
      <c r="S153" s="150">
        <f t="shared" si="14"/>
        <v>0.0006076951629602818</v>
      </c>
      <c r="V153" s="150">
        <f t="shared" si="17"/>
        <v>7.829145728643204</v>
      </c>
      <c r="W153" s="150">
        <f t="shared" si="15"/>
        <v>0.0006590664475230316</v>
      </c>
      <c r="X153" s="150">
        <f t="shared" si="16"/>
        <v>0.08753116577552571</v>
      </c>
    </row>
    <row r="154" spans="17:24" ht="12.75">
      <c r="Q154" s="150">
        <f t="shared" si="12"/>
        <v>2.4170854271356883</v>
      </c>
      <c r="R154" s="150">
        <f t="shared" si="13"/>
        <v>0.09932020126219365</v>
      </c>
      <c r="S154" s="150">
        <f t="shared" si="14"/>
        <v>0.0005250351530396812</v>
      </c>
      <c r="V154" s="150">
        <f t="shared" si="17"/>
        <v>7.934673366834159</v>
      </c>
      <c r="W154" s="150">
        <f t="shared" si="15"/>
        <v>0.0005668872252640414</v>
      </c>
      <c r="X154" s="150">
        <f t="shared" si="16"/>
        <v>0.08303685916605771</v>
      </c>
    </row>
    <row r="155" spans="17:24" ht="12.75">
      <c r="Q155" s="150">
        <f t="shared" si="12"/>
        <v>2.5125628140703617</v>
      </c>
      <c r="R155" s="150">
        <f t="shared" si="13"/>
        <v>0.09467728466425256</v>
      </c>
      <c r="S155" s="150">
        <f t="shared" si="14"/>
        <v>0.0004527782887532431</v>
      </c>
      <c r="V155" s="150">
        <f t="shared" si="17"/>
        <v>8.040201005025114</v>
      </c>
      <c r="W155" s="150">
        <f t="shared" si="15"/>
        <v>0.0004866179096218187</v>
      </c>
      <c r="X155" s="150">
        <f t="shared" si="16"/>
        <v>0.07861457407396094</v>
      </c>
    </row>
    <row r="156" spans="17:24" ht="12.75">
      <c r="Q156" s="150">
        <f t="shared" si="12"/>
        <v>2.608040201005035</v>
      </c>
      <c r="R156" s="150">
        <f t="shared" si="13"/>
        <v>0.09008419586419712</v>
      </c>
      <c r="S156" s="150">
        <f t="shared" si="14"/>
        <v>0.00038974218428246656</v>
      </c>
      <c r="V156" s="150">
        <f t="shared" si="17"/>
        <v>8.145728643216069</v>
      </c>
      <c r="W156" s="150">
        <f t="shared" si="15"/>
        <v>0.00041687270277430277</v>
      </c>
      <c r="X156" s="150">
        <f t="shared" si="16"/>
        <v>0.07427782334463706</v>
      </c>
    </row>
    <row r="157" spans="17:24" ht="12.75">
      <c r="Q157" s="150">
        <f t="shared" si="12"/>
        <v>2.7035175879397086</v>
      </c>
      <c r="R157" s="150">
        <f t="shared" si="13"/>
        <v>0.08555512452149312</v>
      </c>
      <c r="S157" s="150">
        <f t="shared" si="14"/>
        <v>0.000334860441217322</v>
      </c>
      <c r="V157" s="150">
        <f t="shared" si="17"/>
        <v>8.251256281407024</v>
      </c>
      <c r="W157" s="150">
        <f t="shared" si="15"/>
        <v>0.0003564041711131635</v>
      </c>
      <c r="X157" s="150">
        <f t="shared" si="16"/>
        <v>0.07003888476530984</v>
      </c>
    </row>
    <row r="158" spans="17:24" ht="12.75">
      <c r="Q158" s="150">
        <f t="shared" si="12"/>
        <v>2.798994974874382</v>
      </c>
      <c r="R158" s="150">
        <f t="shared" si="13"/>
        <v>0.08110321279919858</v>
      </c>
      <c r="S158" s="150">
        <f t="shared" si="14"/>
        <v>0.0002871738461427142</v>
      </c>
      <c r="V158" s="150">
        <f t="shared" si="17"/>
        <v>8.356783919597978</v>
      </c>
      <c r="W158" s="150">
        <f t="shared" si="15"/>
        <v>0.0003040927379911227</v>
      </c>
      <c r="X158" s="150">
        <f t="shared" si="16"/>
        <v>0.06590877298825265</v>
      </c>
    </row>
    <row r="159" spans="17:24" ht="12.75">
      <c r="Q159" s="150">
        <f t="shared" si="12"/>
        <v>2.8944723618090555</v>
      </c>
      <c r="R159" s="150">
        <f t="shared" si="13"/>
        <v>0.07674051311083116</v>
      </c>
      <c r="S159" s="150">
        <f t="shared" si="14"/>
        <v>0.00024582187882264857</v>
      </c>
      <c r="V159" s="150">
        <f t="shared" si="17"/>
        <v>8.462311557788933</v>
      </c>
      <c r="W159" s="150">
        <f t="shared" si="15"/>
        <v>0.00025893649829325857</v>
      </c>
      <c r="X159" s="150">
        <f t="shared" si="16"/>
        <v>0.061897225384696414</v>
      </c>
    </row>
    <row r="160" spans="17:24" ht="12.75">
      <c r="Q160" s="150">
        <f t="shared" si="12"/>
        <v>2.989949748743729</v>
      </c>
      <c r="R160" s="150">
        <f t="shared" si="13"/>
        <v>0.0724779578544836</v>
      </c>
      <c r="S160" s="150">
        <f t="shared" si="14"/>
        <v>0.0002100345747794467</v>
      </c>
      <c r="V160" s="150">
        <f t="shared" si="17"/>
        <v>8.567839195979888</v>
      </c>
      <c r="W160" s="150">
        <f t="shared" si="15"/>
        <v>0.0002200414220550464</v>
      </c>
      <c r="X160" s="150">
        <f t="shared" si="16"/>
        <v>0.05801270120111079</v>
      </c>
    </row>
    <row r="161" spans="17:24" ht="12.75">
      <c r="Q161" s="150">
        <f t="shared" si="12"/>
        <v>3.0854271356784024</v>
      </c>
      <c r="R161" s="150">
        <f t="shared" si="13"/>
        <v>0.06832534083826171</v>
      </c>
      <c r="S161" s="150">
        <f t="shared" si="14"/>
        <v>0.00017912477561237032</v>
      </c>
      <c r="V161" s="150">
        <f t="shared" si="17"/>
        <v>8.673366834170842</v>
      </c>
      <c r="W161" s="150">
        <f t="shared" si="15"/>
        <v>0.00018661199948195292</v>
      </c>
      <c r="X161" s="150">
        <f t="shared" si="16"/>
        <v>0.05426239324408593</v>
      </c>
    </row>
    <row r="162" spans="17:24" ht="12.75">
      <c r="Q162" s="150">
        <f t="shared" si="12"/>
        <v>3.180904522613076</v>
      </c>
      <c r="R162" s="150">
        <f t="shared" si="13"/>
        <v>0.06429130996938184</v>
      </c>
      <c r="S162" s="150">
        <f t="shared" si="14"/>
        <v>0.00015248079097649757</v>
      </c>
      <c r="V162" s="150">
        <f t="shared" si="17"/>
        <v>8.778894472361797</v>
      </c>
      <c r="W162" s="150">
        <f t="shared" si="15"/>
        <v>0.00015794236625794642</v>
      </c>
      <c r="X162" s="150">
        <f t="shared" si="16"/>
        <v>0.050652251195225394</v>
      </c>
    </row>
    <row r="163" spans="17:24" ht="12.75">
      <c r="Q163" s="150">
        <f t="shared" si="12"/>
        <v>3.2763819095477493</v>
      </c>
      <c r="R163" s="150">
        <f t="shared" si="13"/>
        <v>0.06038337066076089</v>
      </c>
      <c r="S163" s="150">
        <f t="shared" si="14"/>
        <v>0.00012955948774674228</v>
      </c>
      <c r="V163" s="150">
        <f t="shared" si="17"/>
        <v>8.884422110552752</v>
      </c>
      <c r="W163" s="150">
        <f t="shared" si="15"/>
        <v>0.00013340793598207789</v>
      </c>
      <c r="X163" s="150">
        <f t="shared" si="16"/>
        <v>0.047187015554245926</v>
      </c>
    </row>
    <row r="164" spans="17:24" ht="12.75">
      <c r="Q164" s="150">
        <f t="shared" si="12"/>
        <v>3.3718592964824228</v>
      </c>
      <c r="R164" s="150">
        <f t="shared" si="13"/>
        <v>0.056607899304858475</v>
      </c>
      <c r="S164" s="150">
        <f t="shared" si="14"/>
        <v>0.00010987981450427248</v>
      </c>
      <c r="V164" s="150">
        <f t="shared" si="17"/>
        <v>8.989949748743706</v>
      </c>
      <c r="W164" s="150">
        <f t="shared" si="15"/>
        <v>0.0001124575559330125</v>
      </c>
      <c r="X164" s="150">
        <f t="shared" si="16"/>
        <v>0.04387026112734414</v>
      </c>
    </row>
    <row r="165" spans="17:24" ht="12.75">
      <c r="Q165" s="150">
        <f t="shared" si="12"/>
        <v>3.467336683417096</v>
      </c>
      <c r="R165" s="150">
        <f t="shared" si="13"/>
        <v>0.052970166075756574</v>
      </c>
      <c r="S165" s="150">
        <f t="shared" si="14"/>
        <v>9.301676306960717E-05</v>
      </c>
      <c r="V165" s="150">
        <f t="shared" si="17"/>
        <v>9.095477386934661</v>
      </c>
      <c r="W165" s="150">
        <f t="shared" si="15"/>
        <v>9.460619309611858E-05</v>
      </c>
      <c r="X165" s="150">
        <f t="shared" si="16"/>
        <v>0.04070444891885004</v>
      </c>
    </row>
    <row r="166" spans="17:24" ht="12.75">
      <c r="Q166" s="150">
        <f t="shared" si="12"/>
        <v>3.5628140703517697</v>
      </c>
      <c r="R166" s="150">
        <f t="shared" si="13"/>
        <v>0.04947436624753137</v>
      </c>
      <c r="S166" s="150">
        <f t="shared" si="14"/>
        <v>7.859576332291891E-05</v>
      </c>
      <c r="V166" s="150">
        <f t="shared" si="17"/>
        <v>9.201005025125616</v>
      </c>
      <c r="W166" s="150">
        <f t="shared" si="15"/>
        <v>7.942814944133702E-05</v>
      </c>
      <c r="X166" s="150">
        <f t="shared" si="16"/>
        <v>0.037690985246828713</v>
      </c>
    </row>
    <row r="167" spans="17:24" ht="12.75">
      <c r="Q167" s="150">
        <f t="shared" si="12"/>
        <v>3.658291457286443</v>
      </c>
      <c r="R167" s="150">
        <f t="shared" si="13"/>
        <v>0.046123659160116764</v>
      </c>
      <c r="S167" s="150">
        <f t="shared" si="14"/>
        <v>6.62875029430751E-05</v>
      </c>
      <c r="V167" s="150">
        <f t="shared" si="17"/>
        <v>9.30653266331657</v>
      </c>
      <c r="W167" s="150">
        <f t="shared" si="15"/>
        <v>6.655079874150872E-05</v>
      </c>
      <c r="X167" s="150">
        <f t="shared" si="16"/>
        <v>0.03483028688680622</v>
      </c>
    </row>
    <row r="168" spans="17:24" ht="12.75">
      <c r="Q168" s="150">
        <f t="shared" si="12"/>
        <v>3.7537688442211166</v>
      </c>
      <c r="R168" s="150">
        <f t="shared" si="13"/>
        <v>0.04292021392300248</v>
      </c>
      <c r="S168" s="150">
        <f t="shared" si="14"/>
        <v>5.5803159901406454E-05</v>
      </c>
      <c r="V168" s="150">
        <f t="shared" si="17"/>
        <v>9.412060301507525</v>
      </c>
      <c r="W168" s="150">
        <f t="shared" si="15"/>
        <v>5.564883168700619E-05</v>
      </c>
      <c r="X168" s="150">
        <f t="shared" si="16"/>
        <v>0.03212185105102767</v>
      </c>
    </row>
    <row r="169" spans="17:24" ht="12.75">
      <c r="Q169" s="150">
        <f t="shared" si="12"/>
        <v>3.84924623115579</v>
      </c>
      <c r="R169" s="150">
        <f t="shared" si="13"/>
        <v>0.039865260921899605</v>
      </c>
      <c r="S169" s="150">
        <f t="shared" si="14"/>
        <v>4.689003249831198E-05</v>
      </c>
      <c r="V169" s="150">
        <f t="shared" si="17"/>
        <v>9.51758793969848</v>
      </c>
      <c r="W169" s="150">
        <f t="shared" si="15"/>
        <v>4.643899159175967E-05</v>
      </c>
      <c r="X169" s="150">
        <f t="shared" si="16"/>
        <v>0.029564329032143247</v>
      </c>
    </row>
    <row r="170" spans="17:24" ht="12.75">
      <c r="Q170" s="150">
        <f t="shared" si="12"/>
        <v>3.9447236180904635</v>
      </c>
      <c r="R170" s="150">
        <f t="shared" si="13"/>
        <v>0.03695914818333067</v>
      </c>
      <c r="S170" s="150">
        <f t="shared" si="14"/>
        <v>3.932754936208642E-05</v>
      </c>
      <c r="V170" s="150">
        <f t="shared" si="17"/>
        <v>9.623115577889434</v>
      </c>
      <c r="W170" s="150">
        <f t="shared" si="15"/>
        <v>3.86752795012109E-05</v>
      </c>
      <c r="X170" s="150">
        <f t="shared" si="16"/>
        <v>0.027155602378257853</v>
      </c>
    </row>
    <row r="171" spans="17:24" ht="12.75">
      <c r="Q171" s="150">
        <f t="shared" si="12"/>
        <v>4.0402010050251365</v>
      </c>
      <c r="R171" s="150">
        <f t="shared" si="13"/>
        <v>0.03420140165611865</v>
      </c>
      <c r="S171" s="150">
        <f t="shared" si="14"/>
        <v>3.2923640070383485E-05</v>
      </c>
      <c r="V171" s="150">
        <f t="shared" si="17"/>
        <v>9.728643216080389</v>
      </c>
      <c r="W171" s="150">
        <f t="shared" si="15"/>
        <v>3.2144604904953326E-05</v>
      </c>
      <c r="X171" s="150">
        <f t="shared" si="16"/>
        <v>0.024892860518967396</v>
      </c>
    </row>
    <row r="172" spans="17:24" ht="12.75">
      <c r="Q172" s="150">
        <f t="shared" si="12"/>
        <v>4.13567839195981</v>
      </c>
      <c r="R172" s="150">
        <f t="shared" si="13"/>
        <v>0.03159078848592329</v>
      </c>
      <c r="S172" s="150">
        <f t="shared" si="14"/>
        <v>2.751144583656108E-05</v>
      </c>
      <c r="V172" s="150">
        <f t="shared" si="17"/>
        <v>9.834170854271344</v>
      </c>
      <c r="W172" s="150">
        <f t="shared" si="15"/>
        <v>2.6662856426389706E-05</v>
      </c>
      <c r="X172" s="150">
        <f t="shared" si="16"/>
        <v>0.02277267882730241</v>
      </c>
    </row>
    <row r="173" spans="17:24" ht="12.75">
      <c r="Q173" s="150">
        <f t="shared" si="12"/>
        <v>4.231155778894483</v>
      </c>
      <c r="R173" s="150">
        <f t="shared" si="13"/>
        <v>0.02912538238810508</v>
      </c>
      <c r="S173" s="150">
        <f t="shared" si="14"/>
        <v>2.2946348958563638E-05</v>
      </c>
      <c r="V173" s="150">
        <f t="shared" si="17"/>
        <v>9.939698492462298</v>
      </c>
      <c r="W173" s="150">
        <f t="shared" si="15"/>
        <v>2.2071365711145052E-05</v>
      </c>
      <c r="X173" s="150">
        <f t="shared" si="16"/>
        <v>0.02079109617827961</v>
      </c>
    </row>
    <row r="174" spans="17:24" ht="12.75">
      <c r="Q174" s="150">
        <f t="shared" si="12"/>
        <v>4.326633165829157</v>
      </c>
      <c r="R174" s="150">
        <f t="shared" si="13"/>
        <v>0.026802630263958807</v>
      </c>
      <c r="S174" s="150">
        <f t="shared" si="14"/>
        <v>1.9103299392428356E-05</v>
      </c>
      <c r="V174" s="150">
        <f t="shared" si="17"/>
        <v>10.045226130653253</v>
      </c>
      <c r="W174" s="150">
        <f t="shared" si="15"/>
        <v>1.823373717133873E-05</v>
      </c>
      <c r="X174" s="150">
        <f t="shared" si="16"/>
        <v>0.018943691148867674</v>
      </c>
    </row>
    <row r="175" spans="17:24" ht="12.75">
      <c r="Q175" s="150">
        <f t="shared" si="12"/>
        <v>4.42211055276383</v>
      </c>
      <c r="R175" s="150">
        <f t="shared" si="13"/>
        <v>0.024619419254329717</v>
      </c>
      <c r="S175" s="150">
        <f t="shared" si="14"/>
        <v>1.5874416824897624E-05</v>
      </c>
      <c r="V175" s="150">
        <f t="shared" si="17"/>
        <v>10.150753768844208</v>
      </c>
      <c r="W175" s="150">
        <f t="shared" si="15"/>
        <v>1.5033016175146893E-05</v>
      </c>
      <c r="X175" s="150">
        <f t="shared" si="16"/>
        <v>0.017225656094459973</v>
      </c>
    </row>
    <row r="176" spans="17:24" ht="12.75">
      <c r="Q176" s="150">
        <f t="shared" si="12"/>
        <v>4.517587939698504</v>
      </c>
      <c r="R176" s="150">
        <f t="shared" si="13"/>
        <v>0.02257214348132951</v>
      </c>
      <c r="S176" s="150">
        <f t="shared" si="14"/>
        <v>1.3166846922893536E-05</v>
      </c>
      <c r="V176" s="150">
        <f t="shared" si="17"/>
        <v>10.256281407035162</v>
      </c>
      <c r="W176" s="150">
        <f t="shared" si="15"/>
        <v>1.2369168617292097E-05</v>
      </c>
      <c r="X176" s="150">
        <f t="shared" si="16"/>
        <v>0.015631868431330728</v>
      </c>
    </row>
    <row r="177" spans="17:24" ht="12.75">
      <c r="Q177" s="150">
        <f t="shared" si="12"/>
        <v>4.613065326633177</v>
      </c>
      <c r="R177" s="150">
        <f t="shared" si="13"/>
        <v>0.020656769791801022</v>
      </c>
      <c r="S177" s="150">
        <f t="shared" si="14"/>
        <v>1.0900850979208416E-05</v>
      </c>
      <c r="V177" s="150">
        <f t="shared" si="17"/>
        <v>10.361809045226117</v>
      </c>
      <c r="W177" s="150">
        <f t="shared" si="15"/>
        <v>1.0156845489625366E-05</v>
      </c>
      <c r="X177" s="150">
        <f t="shared" si="16"/>
        <v>0.014156958551046364</v>
      </c>
    </row>
    <row r="178" spans="17:24" ht="12.75">
      <c r="Q178" s="150">
        <f t="shared" si="12"/>
        <v>4.708542713567851</v>
      </c>
      <c r="R178" s="150">
        <f t="shared" si="13"/>
        <v>0.01886890188384678</v>
      </c>
      <c r="S178" s="150">
        <f t="shared" si="14"/>
        <v>9.008108905724393E-06</v>
      </c>
      <c r="V178" s="150">
        <f t="shared" si="17"/>
        <v>10.467336683417072</v>
      </c>
      <c r="W178" s="150">
        <f t="shared" si="15"/>
        <v>8.323407022269567E-06</v>
      </c>
      <c r="X178" s="150">
        <f t="shared" si="16"/>
        <v>0.012795373889556563</v>
      </c>
    </row>
    <row r="179" spans="17:24" ht="12.75">
      <c r="Q179" s="150">
        <f t="shared" si="12"/>
        <v>4.804020100502524</v>
      </c>
      <c r="R179" s="150">
        <f t="shared" si="13"/>
        <v>0.017203842268673553</v>
      </c>
      <c r="S179" s="150">
        <f t="shared" si="14"/>
        <v>7.4302164047178564E-06</v>
      </c>
      <c r="V179" s="150">
        <f t="shared" si="17"/>
        <v>10.572864321608026</v>
      </c>
      <c r="W179" s="150">
        <f t="shared" si="15"/>
        <v>6.807182122482877E-06</v>
      </c>
      <c r="X179" s="150">
        <f t="shared" si="16"/>
        <v>0.011541438769005444</v>
      </c>
    </row>
    <row r="180" spans="17:24" ht="12.75">
      <c r="Q180" s="150">
        <f t="shared" si="12"/>
        <v>4.8994974874371975</v>
      </c>
      <c r="R180" s="150">
        <f t="shared" si="13"/>
        <v>0.015656651592813608</v>
      </c>
      <c r="S180" s="150">
        <f t="shared" si="14"/>
        <v>6.117358136972824E-06</v>
      </c>
      <c r="V180" s="150">
        <f t="shared" si="17"/>
        <v>10.678391959798981</v>
      </c>
      <c r="W180" s="150">
        <f t="shared" si="15"/>
        <v>5.555940145274981E-06</v>
      </c>
      <c r="X180" s="150">
        <f t="shared" si="16"/>
        <v>0.01038940972266955</v>
      </c>
    </row>
    <row r="181" spans="17:24" ht="12.75">
      <c r="Q181" s="150">
        <f t="shared" si="12"/>
        <v>4.994974874371871</v>
      </c>
      <c r="R181" s="150">
        <f t="shared" si="13"/>
        <v>0.014222204919147417</v>
      </c>
      <c r="S181" s="150">
        <f t="shared" si="14"/>
        <v>5.027139768911751E-06</v>
      </c>
      <c r="V181" s="150">
        <f t="shared" si="17"/>
        <v>10.783919597989936</v>
      </c>
      <c r="W181" s="150">
        <f t="shared" si="15"/>
        <v>4.52555343868742E-06</v>
      </c>
      <c r="X181" s="150">
        <f t="shared" si="16"/>
        <v>0.009333526101528043</v>
      </c>
    </row>
    <row r="182" spans="17:24" ht="12.75">
      <c r="Q182" s="150">
        <f t="shared" si="12"/>
        <v>5.090452261306544</v>
      </c>
      <c r="R182" s="150">
        <f t="shared" si="13"/>
        <v>0.012895244637854433</v>
      </c>
      <c r="S182" s="150">
        <f t="shared" si="14"/>
        <v>4.1235628906097075E-06</v>
      </c>
      <c r="V182" s="150">
        <f t="shared" si="17"/>
        <v>10.88944723618089</v>
      </c>
      <c r="W182" s="150">
        <f t="shared" si="15"/>
        <v>3.6788305760944935E-06</v>
      </c>
      <c r="X182" s="150">
        <f t="shared" si="16"/>
        <v>0.008368055843691337</v>
      </c>
    </row>
    <row r="183" spans="17:24" ht="12.75">
      <c r="Q183" s="150">
        <f t="shared" si="12"/>
        <v>5.185929648241218</v>
      </c>
      <c r="R183" s="150">
        <f t="shared" si="13"/>
        <v>0.011670429749362185</v>
      </c>
      <c r="S183" s="150">
        <f t="shared" si="14"/>
        <v>3.376127927553003E-06</v>
      </c>
      <c r="V183" s="150">
        <f t="shared" si="17"/>
        <v>10.994974874371845</v>
      </c>
      <c r="W183" s="150">
        <f t="shared" si="15"/>
        <v>2.984501682820936E-06</v>
      </c>
      <c r="X183" s="150">
        <f t="shared" si="16"/>
        <v>0.0074873363643547025</v>
      </c>
    </row>
    <row r="184" spans="17:24" ht="12.75">
      <c r="Q184" s="150">
        <f t="shared" si="12"/>
        <v>5.281407035175891</v>
      </c>
      <c r="R184" s="150">
        <f t="shared" si="13"/>
        <v>0.010542381329576756</v>
      </c>
      <c r="S184" s="150">
        <f t="shared" si="14"/>
        <v>2.7590513004619514E-06</v>
      </c>
      <c r="V184" s="150">
        <f t="shared" si="17"/>
        <v>11.1005025125628</v>
      </c>
      <c r="W184" s="150">
        <f t="shared" si="15"/>
        <v>2.4163387556498514E-06</v>
      </c>
      <c r="X184" s="150">
        <f t="shared" si="16"/>
        <v>0.006685810593410379</v>
      </c>
    </row>
    <row r="185" spans="17:24" ht="12.75">
      <c r="Q185" s="150">
        <f t="shared" si="12"/>
        <v>5.376884422110565</v>
      </c>
      <c r="R185" s="150">
        <f t="shared" si="13"/>
        <v>0.009505724052325215</v>
      </c>
      <c r="S185" s="150">
        <f t="shared" si="14"/>
        <v>2.250584202238985E-06</v>
      </c>
      <c r="V185" s="150">
        <f t="shared" si="17"/>
        <v>11.206030150753755</v>
      </c>
      <c r="W185" s="150">
        <f t="shared" si="15"/>
        <v>1.9523953376687826E-06</v>
      </c>
      <c r="X185" s="150">
        <f t="shared" si="16"/>
        <v>0.005958058249853463</v>
      </c>
    </row>
    <row r="186" spans="17:24" ht="12.75">
      <c r="Q186" s="150">
        <f t="shared" si="12"/>
        <v>5.472361809045238</v>
      </c>
      <c r="R186" s="150">
        <f t="shared" si="13"/>
        <v>0.00855512370432651</v>
      </c>
      <c r="S186" s="150">
        <f t="shared" si="14"/>
        <v>1.8324214452708818E-06</v>
      </c>
      <c r="V186" s="150">
        <f t="shared" si="17"/>
        <v>11.31155778894471</v>
      </c>
      <c r="W186" s="150">
        <f t="shared" si="15"/>
        <v>1.574351328528464E-06</v>
      </c>
      <c r="X186" s="150">
        <f t="shared" si="16"/>
        <v>0.0052988224963543724</v>
      </c>
    </row>
    <row r="187" spans="17:24" ht="12.75">
      <c r="Q187" s="150">
        <f t="shared" si="12"/>
        <v>5.567839195979912</v>
      </c>
      <c r="R187" s="150">
        <f t="shared" si="13"/>
        <v>0.007685320683575265</v>
      </c>
      <c r="S187" s="150">
        <f t="shared" si="14"/>
        <v>1.4891898750630503E-06</v>
      </c>
      <c r="V187" s="150">
        <f t="shared" si="17"/>
        <v>11.417085427135664</v>
      </c>
      <c r="W187" s="150">
        <f t="shared" si="15"/>
        <v>1.2669500670827019E-06</v>
      </c>
      <c r="X187" s="150">
        <f t="shared" si="16"/>
        <v>0.00470303216372357</v>
      </c>
    </row>
    <row r="188" spans="17:24" ht="12.75">
      <c r="Q188" s="150">
        <f t="shared" si="12"/>
        <v>5.663316582914585</v>
      </c>
      <c r="R188" s="150">
        <f t="shared" si="13"/>
        <v>0.006891159522354413</v>
      </c>
      <c r="S188" s="150">
        <f t="shared" si="14"/>
        <v>1.2080068393157297E-06</v>
      </c>
      <c r="V188" s="150">
        <f t="shared" si="17"/>
        <v>11.522613065326619</v>
      </c>
      <c r="W188" s="150">
        <f t="shared" si="15"/>
        <v>1.0175161088852341E-06</v>
      </c>
      <c r="X188" s="150">
        <f t="shared" si="16"/>
        <v>0.004165819773504545</v>
      </c>
    </row>
    <row r="189" spans="17:24" ht="12.75">
      <c r="Q189" s="150">
        <f t="shared" si="12"/>
        <v>5.7587939698492585</v>
      </c>
      <c r="R189" s="150">
        <f t="shared" si="13"/>
        <v>0.006167614520901131</v>
      </c>
      <c r="S189" s="150">
        <f t="shared" si="14"/>
        <v>9.78100139205224E-07</v>
      </c>
      <c r="V189" s="150">
        <f t="shared" si="17"/>
        <v>11.628140703517573</v>
      </c>
      <c r="W189" s="150">
        <f t="shared" si="15"/>
        <v>8.155433278057047E-07</v>
      </c>
      <c r="X189" s="150">
        <f t="shared" si="16"/>
        <v>0.003682535617785685</v>
      </c>
    </row>
    <row r="190" spans="17:24" ht="12.75">
      <c r="Q190" s="150">
        <f t="shared" si="12"/>
        <v>5.854271356783932</v>
      </c>
      <c r="R190" s="150">
        <f t="shared" si="13"/>
        <v>0.0055098116168753606</v>
      </c>
      <c r="S190" s="150">
        <f t="shared" si="14"/>
        <v>7.904817679439594E-07</v>
      </c>
      <c r="V190" s="150">
        <f t="shared" si="17"/>
        <v>11.733668341708528</v>
      </c>
      <c r="W190" s="150">
        <f t="shared" si="15"/>
        <v>6.5234409458873E-07</v>
      </c>
      <c r="X190" s="150">
        <f t="shared" si="16"/>
        <v>0.003248758178832384</v>
      </c>
    </row>
    <row r="191" spans="17:24" ht="12.75">
      <c r="Q191" s="150">
        <f t="shared" si="12"/>
        <v>5.949748743718605</v>
      </c>
      <c r="R191" s="150">
        <f t="shared" si="13"/>
        <v>0.004913046649175377</v>
      </c>
      <c r="S191" s="150">
        <f t="shared" si="14"/>
        <v>6.37668558513852E-07</v>
      </c>
      <c r="V191" s="150">
        <f t="shared" si="17"/>
        <v>11.839195979899483</v>
      </c>
      <c r="W191" s="150">
        <f t="shared" si="15"/>
        <v>5.207513233904806E-07</v>
      </c>
      <c r="X191" s="150">
        <f t="shared" si="16"/>
        <v>0.002860301187724211</v>
      </c>
    </row>
    <row r="192" spans="17:24" ht="12.75">
      <c r="Q192" s="150">
        <f t="shared" si="12"/>
        <v>6.045226130653279</v>
      </c>
      <c r="R192" s="150">
        <f t="shared" si="13"/>
        <v>0.004372800202370886</v>
      </c>
      <c r="S192" s="150">
        <f t="shared" si="14"/>
        <v>5.134436170724787E-07</v>
      </c>
      <c r="V192" s="150">
        <f t="shared" si="17"/>
        <v>11.944723618090437</v>
      </c>
      <c r="W192" s="150">
        <f t="shared" si="15"/>
        <v>4.1486613001569033E-07</v>
      </c>
      <c r="X192" s="150">
        <f t="shared" si="16"/>
        <v>0.0025132176313394745</v>
      </c>
    </row>
    <row r="193" spans="17:24" ht="12.75">
      <c r="Q193" s="150">
        <f t="shared" si="12"/>
        <v>6.140703517587952</v>
      </c>
      <c r="R193" s="150">
        <f t="shared" si="13"/>
        <v>0.0038847492402329814</v>
      </c>
      <c r="S193" s="150">
        <f t="shared" si="14"/>
        <v>4.126531113752664E-07</v>
      </c>
      <c r="V193" s="150">
        <f t="shared" si="17"/>
        <v>12.050251256281392</v>
      </c>
      <c r="W193" s="150">
        <f t="shared" si="15"/>
        <v>3.2984471415211515E-07</v>
      </c>
      <c r="X193" s="150">
        <f t="shared" si="16"/>
        <v>0.0022038010213265686</v>
      </c>
    </row>
    <row r="194" spans="17:24" ht="12.75">
      <c r="Q194" s="150">
        <f t="shared" si="12"/>
        <v>6.236180904522626</v>
      </c>
      <c r="R194" s="150">
        <f t="shared" si="13"/>
        <v>0.003444775753766168</v>
      </c>
      <c r="S194" s="150">
        <f t="shared" si="14"/>
        <v>3.310336160324523E-07</v>
      </c>
      <c r="V194" s="150">
        <f t="shared" si="17"/>
        <v>12.155778894472347</v>
      </c>
      <c r="W194" s="150">
        <f t="shared" si="15"/>
        <v>2.6171886500451707E-07</v>
      </c>
      <c r="X194" s="150">
        <f t="shared" si="16"/>
        <v>0.0019285842377492026</v>
      </c>
    </row>
    <row r="195" spans="17:24" ht="12.75">
      <c r="Q195" s="150">
        <f t="shared" si="12"/>
        <v>6.331658291457299</v>
      </c>
      <c r="R195" s="150">
        <f t="shared" si="13"/>
        <v>0.003048972661090586</v>
      </c>
      <c r="S195" s="150">
        <f t="shared" si="14"/>
        <v>2.6506579066168965E-07</v>
      </c>
      <c r="V195" s="150">
        <f t="shared" si="17"/>
        <v>12.261306532663301</v>
      </c>
      <c r="W195" s="150">
        <f t="shared" si="15"/>
        <v>2.072451989507684E-07</v>
      </c>
      <c r="X195" s="150">
        <f t="shared" si="16"/>
        <v>0.0016843362545293447</v>
      </c>
    </row>
    <row r="196" spans="17:24" ht="12.75">
      <c r="Q196" s="150">
        <f aca="true" t="shared" si="18" ref="Q196:Q202">Q195+$P$13</f>
        <v>6.427135678391973</v>
      </c>
      <c r="R196" s="150">
        <f aca="true" t="shared" si="19" ref="R196:R202">NORMDIST(Q196,0,$P$10,0)</f>
        <v>0.0026936472038387254</v>
      </c>
      <c r="S196" s="150">
        <f aca="true" t="shared" si="20" ref="S196:S202">NORMDIST(Q196,$S$2,$P$10,0)</f>
        <v>2.118506856948912E-07</v>
      </c>
      <c r="V196" s="150">
        <f t="shared" si="17"/>
        <v>12.366834170854256</v>
      </c>
      <c r="W196" s="150">
        <f aca="true" t="shared" si="21" ref="W196:W202">NORMDIST(V196,0,$U$10,0)</f>
        <v>1.6377887344363082E-07</v>
      </c>
      <c r="X196" s="150">
        <f aca="true" t="shared" si="22" ref="X196:X202">NORMDIST(V196,$X$2,$U$10,0)</f>
        <v>0.0014680570442864257</v>
      </c>
    </row>
    <row r="197" spans="17:24" ht="12.75">
      <c r="Q197" s="150">
        <f t="shared" si="18"/>
        <v>6.522613065326646</v>
      </c>
      <c r="R197" s="150">
        <f t="shared" si="19"/>
        <v>0.0023753220878166394</v>
      </c>
      <c r="S197" s="150">
        <f t="shared" si="20"/>
        <v>1.690054368422049E-07</v>
      </c>
      <c r="V197" s="150">
        <f aca="true" t="shared" si="23" ref="V197:V202">V196+$U$13</f>
        <v>12.47236180904521</v>
      </c>
      <c r="W197" s="150">
        <f t="shared" si="21"/>
        <v>1.2916808808556813E-07</v>
      </c>
      <c r="X197" s="150">
        <f t="shared" si="22"/>
        <v>0.0012769709473293904</v>
      </c>
    </row>
    <row r="198" spans="17:24" ht="12.75">
      <c r="Q198" s="150">
        <f t="shared" si="18"/>
        <v>6.6180904522613195</v>
      </c>
      <c r="R198" s="150">
        <f t="shared" si="19"/>
        <v>0.0020907346149620794</v>
      </c>
      <c r="S198" s="150">
        <f t="shared" si="20"/>
        <v>1.3457552636163037E-07</v>
      </c>
      <c r="V198" s="150">
        <f t="shared" si="23"/>
        <v>12.577889447236165</v>
      </c>
      <c r="W198" s="150">
        <f t="shared" si="21"/>
        <v>1.0166618660495356E-07</v>
      </c>
      <c r="X198" s="150">
        <f t="shared" si="22"/>
        <v>0.0011085187740280014</v>
      </c>
    </row>
    <row r="199" spans="17:24" ht="12.75">
      <c r="Q199" s="150">
        <f t="shared" si="18"/>
        <v>6.713567839195993</v>
      </c>
      <c r="R199" s="150">
        <f t="shared" si="19"/>
        <v>0.001836834049555278</v>
      </c>
      <c r="S199" s="150">
        <f t="shared" si="20"/>
        <v>1.0696116083763711E-07</v>
      </c>
      <c r="V199" s="150">
        <f t="shared" si="23"/>
        <v>12.68341708542712</v>
      </c>
      <c r="W199" s="150">
        <f t="shared" si="21"/>
        <v>7.985861747120806E-08</v>
      </c>
      <c r="X199" s="150">
        <f t="shared" si="22"/>
        <v>0.0009603488921717494</v>
      </c>
    </row>
    <row r="200" spans="17:24" ht="12.75">
      <c r="Q200" s="150">
        <f t="shared" si="18"/>
        <v>6.809045226130666</v>
      </c>
      <c r="R200" s="150">
        <f t="shared" si="19"/>
        <v>0.001610777454654641</v>
      </c>
      <c r="S200" s="150">
        <f t="shared" si="20"/>
        <v>8.4855644700933E-08</v>
      </c>
      <c r="V200" s="150">
        <f t="shared" si="23"/>
        <v>12.788944723618075</v>
      </c>
      <c r="W200" s="150">
        <f t="shared" si="21"/>
        <v>6.260240120687094E-08</v>
      </c>
      <c r="X200" s="150">
        <f t="shared" si="22"/>
        <v>0.0008303075317831122</v>
      </c>
    </row>
    <row r="201" spans="17:24" ht="12.75">
      <c r="Q201" s="150">
        <f t="shared" si="18"/>
        <v>6.90452261306534</v>
      </c>
      <c r="R201" s="150">
        <f t="shared" si="19"/>
        <v>0.0014099242252890382</v>
      </c>
      <c r="S201" s="150">
        <f t="shared" si="20"/>
        <v>6.719391977104476E-08</v>
      </c>
      <c r="V201" s="150">
        <f t="shared" si="23"/>
        <v>12.89447236180903</v>
      </c>
      <c r="W201" s="150">
        <f t="shared" si="21"/>
        <v>4.8976094082549056E-08</v>
      </c>
      <c r="X201" s="150">
        <f t="shared" si="22"/>
        <v>0.0007164285197065806</v>
      </c>
    </row>
    <row r="202" spans="17:24" ht="12.75">
      <c r="Q202" s="150">
        <f t="shared" si="18"/>
        <v>7.000000000000013</v>
      </c>
      <c r="R202" s="150">
        <f t="shared" si="19"/>
        <v>0.0012318295334805864</v>
      </c>
      <c r="S202" s="150">
        <f t="shared" si="20"/>
        <v>5.310969714033076E-08</v>
      </c>
      <c r="V202" s="150">
        <f t="shared" si="23"/>
        <v>12.999999999999984</v>
      </c>
      <c r="W202" s="150">
        <f t="shared" si="21"/>
        <v>3.8238535629370914E-08</v>
      </c>
      <c r="X202" s="150">
        <f t="shared" si="22"/>
        <v>0.0006169226356176414</v>
      </c>
    </row>
  </sheetData>
  <sheetProtection sheet="1" objects="1" scenarios="1"/>
  <mergeCells count="6">
    <mergeCell ref="B3:M4"/>
    <mergeCell ref="C31:L32"/>
    <mergeCell ref="G6:H6"/>
    <mergeCell ref="K6:L6"/>
    <mergeCell ref="C6:D6"/>
    <mergeCell ref="B28:M29"/>
  </mergeCells>
  <printOptions/>
  <pageMargins left="0.75" right="0.75" top="1" bottom="1" header="0.5" footer="0.5"/>
  <pageSetup horizontalDpi="200" verticalDpi="200" orientation="portrait" r:id="rId2"/>
  <ignoredErrors>
    <ignoredError sqref="U6 U30" formula="1"/>
  </ignoredErrors>
  <drawing r:id="rId1"/>
</worksheet>
</file>

<file path=xl/worksheets/sheet7.xml><?xml version="1.0" encoding="utf-8"?>
<worksheet xmlns="http://schemas.openxmlformats.org/spreadsheetml/2006/main" xmlns:r="http://schemas.openxmlformats.org/officeDocument/2006/relationships">
  <sheetPr codeName="Sheet4"/>
  <dimension ref="A1:O40"/>
  <sheetViews>
    <sheetView showGridLines="0" showRowColHeaders="0" zoomScale="117" zoomScaleNormal="117" workbookViewId="0" topLeftCell="A1">
      <selection activeCell="A22" sqref="A22"/>
    </sheetView>
  </sheetViews>
  <sheetFormatPr defaultColWidth="9.140625" defaultRowHeight="12.75"/>
  <sheetData>
    <row r="1" spans="1:15" ht="12.75">
      <c r="A1" s="59"/>
      <c r="B1" s="59"/>
      <c r="C1" s="59"/>
      <c r="D1" s="59"/>
      <c r="E1" s="59"/>
      <c r="F1" s="59"/>
      <c r="G1" s="59"/>
      <c r="H1" s="59"/>
      <c r="I1" s="59"/>
      <c r="J1" s="59"/>
      <c r="K1" s="59"/>
      <c r="L1" s="59"/>
      <c r="M1" s="59"/>
      <c r="N1" s="59"/>
      <c r="O1" s="59"/>
    </row>
    <row r="2" spans="1:15" ht="12.75">
      <c r="A2" s="59"/>
      <c r="B2" s="59"/>
      <c r="C2" s="59"/>
      <c r="D2" s="59"/>
      <c r="E2" s="59"/>
      <c r="F2" s="59"/>
      <c r="G2" s="59"/>
      <c r="H2" s="59"/>
      <c r="I2" s="59"/>
      <c r="J2" s="59"/>
      <c r="K2" s="59"/>
      <c r="L2" s="59"/>
      <c r="M2" s="59"/>
      <c r="N2" s="59"/>
      <c r="O2" s="59"/>
    </row>
    <row r="3" spans="1:15" ht="12.75">
      <c r="A3" s="59"/>
      <c r="B3" s="59"/>
      <c r="C3" s="59"/>
      <c r="D3" s="59"/>
      <c r="E3" s="59"/>
      <c r="F3" s="59"/>
      <c r="G3" s="59"/>
      <c r="H3" s="59"/>
      <c r="I3" s="59"/>
      <c r="J3" s="59"/>
      <c r="K3" s="59"/>
      <c r="L3" s="59"/>
      <c r="M3" s="59"/>
      <c r="N3" s="59"/>
      <c r="O3" s="59"/>
    </row>
    <row r="4" spans="1:15" ht="12.75">
      <c r="A4" s="59"/>
      <c r="B4" s="59"/>
      <c r="C4" s="59"/>
      <c r="D4" s="59"/>
      <c r="E4" s="59"/>
      <c r="F4" s="59"/>
      <c r="G4" s="59"/>
      <c r="H4" s="59"/>
      <c r="I4" s="59"/>
      <c r="J4" s="59"/>
      <c r="K4" s="59"/>
      <c r="L4" s="59"/>
      <c r="M4" s="59"/>
      <c r="N4" s="59"/>
      <c r="O4" s="59"/>
    </row>
    <row r="5" spans="1:15" ht="12.75">
      <c r="A5" s="59"/>
      <c r="B5" s="59"/>
      <c r="C5" s="59"/>
      <c r="D5" s="59"/>
      <c r="E5" s="59"/>
      <c r="F5" s="59"/>
      <c r="G5" s="59"/>
      <c r="H5" s="59"/>
      <c r="I5" s="59"/>
      <c r="J5" s="59"/>
      <c r="K5" s="59"/>
      <c r="L5" s="59"/>
      <c r="M5" s="59"/>
      <c r="N5" s="59"/>
      <c r="O5" s="59"/>
    </row>
    <row r="6" spans="1:15" ht="12.75">
      <c r="A6" s="59"/>
      <c r="B6" s="59"/>
      <c r="C6" s="59"/>
      <c r="D6" s="59"/>
      <c r="E6" s="59"/>
      <c r="F6" s="59"/>
      <c r="G6" s="59"/>
      <c r="H6" s="59"/>
      <c r="I6" s="59"/>
      <c r="J6" s="59"/>
      <c r="K6" s="59"/>
      <c r="L6" s="59"/>
      <c r="M6" s="59"/>
      <c r="N6" s="59"/>
      <c r="O6" s="59"/>
    </row>
    <row r="7" spans="1:15" ht="12.75">
      <c r="A7" s="59"/>
      <c r="B7" s="59"/>
      <c r="C7" s="59"/>
      <c r="D7" s="59"/>
      <c r="E7" s="59"/>
      <c r="F7" s="59"/>
      <c r="G7" s="59"/>
      <c r="H7" s="59"/>
      <c r="I7" s="59"/>
      <c r="J7" s="59"/>
      <c r="K7" s="59"/>
      <c r="L7" s="59"/>
      <c r="M7" s="59"/>
      <c r="N7" s="59"/>
      <c r="O7" s="59"/>
    </row>
    <row r="8" spans="1:15" ht="12.75">
      <c r="A8" s="59"/>
      <c r="B8" s="59"/>
      <c r="C8" s="59"/>
      <c r="D8" s="59"/>
      <c r="E8" s="59"/>
      <c r="F8" s="59"/>
      <c r="G8" s="59"/>
      <c r="H8" s="59"/>
      <c r="I8" s="59"/>
      <c r="J8" s="59"/>
      <c r="K8" s="59"/>
      <c r="L8" s="59"/>
      <c r="M8" s="59"/>
      <c r="N8" s="59"/>
      <c r="O8" s="59"/>
    </row>
    <row r="9" spans="1:15" ht="12.75">
      <c r="A9" s="59"/>
      <c r="B9" s="59"/>
      <c r="C9" s="59"/>
      <c r="D9" s="59"/>
      <c r="E9" s="59"/>
      <c r="F9" s="59"/>
      <c r="G9" s="59"/>
      <c r="H9" s="59"/>
      <c r="I9" s="59"/>
      <c r="J9" s="59"/>
      <c r="K9" s="59"/>
      <c r="L9" s="59"/>
      <c r="M9" s="59"/>
      <c r="N9" s="59"/>
      <c r="O9" s="59"/>
    </row>
    <row r="10" spans="1:15" ht="12.75">
      <c r="A10" s="59"/>
      <c r="B10" s="59"/>
      <c r="C10" s="59"/>
      <c r="D10" s="59"/>
      <c r="E10" s="59"/>
      <c r="F10" s="59"/>
      <c r="G10" s="59"/>
      <c r="H10" s="59"/>
      <c r="I10" s="59"/>
      <c r="J10" s="59"/>
      <c r="K10" s="59"/>
      <c r="L10" s="59"/>
      <c r="M10" s="59"/>
      <c r="N10" s="59"/>
      <c r="O10" s="59"/>
    </row>
    <row r="11" spans="1:15" ht="12.75">
      <c r="A11" s="59"/>
      <c r="B11" s="59"/>
      <c r="C11" s="59"/>
      <c r="D11" s="59"/>
      <c r="E11" s="59"/>
      <c r="F11" s="59"/>
      <c r="G11" s="59"/>
      <c r="H11" s="59"/>
      <c r="I11" s="59"/>
      <c r="J11" s="59"/>
      <c r="K11" s="59"/>
      <c r="L11" s="59"/>
      <c r="M11" s="59"/>
      <c r="N11" s="59"/>
      <c r="O11" s="59"/>
    </row>
    <row r="12" spans="1:15" ht="12.75">
      <c r="A12" s="59"/>
      <c r="B12" s="59"/>
      <c r="C12" s="59"/>
      <c r="D12" s="59"/>
      <c r="E12" s="59"/>
      <c r="F12" s="59"/>
      <c r="G12" s="59"/>
      <c r="H12" s="59"/>
      <c r="I12" s="59"/>
      <c r="J12" s="59"/>
      <c r="K12" s="59"/>
      <c r="L12" s="59"/>
      <c r="M12" s="59"/>
      <c r="N12" s="59"/>
      <c r="O12" s="59"/>
    </row>
    <row r="13" spans="1:15" ht="12.75">
      <c r="A13" s="59"/>
      <c r="B13" s="59"/>
      <c r="C13" s="59"/>
      <c r="D13" s="59"/>
      <c r="E13" s="59"/>
      <c r="F13" s="59"/>
      <c r="G13" s="59"/>
      <c r="H13" s="59"/>
      <c r="I13" s="59"/>
      <c r="J13" s="59"/>
      <c r="K13" s="59"/>
      <c r="L13" s="59"/>
      <c r="M13" s="59"/>
      <c r="N13" s="59"/>
      <c r="O13" s="59"/>
    </row>
    <row r="14" spans="1:15" ht="12.75">
      <c r="A14" s="59"/>
      <c r="B14" s="59"/>
      <c r="C14" s="59"/>
      <c r="D14" s="59"/>
      <c r="E14" s="59"/>
      <c r="F14" s="59"/>
      <c r="G14" s="59"/>
      <c r="H14" s="59"/>
      <c r="I14" s="59"/>
      <c r="J14" s="59"/>
      <c r="K14" s="59"/>
      <c r="L14" s="59"/>
      <c r="M14" s="59"/>
      <c r="N14" s="59"/>
      <c r="O14" s="59"/>
    </row>
    <row r="15" spans="1:15" ht="12.75">
      <c r="A15" s="59"/>
      <c r="B15" s="59"/>
      <c r="C15" s="59"/>
      <c r="D15" s="59"/>
      <c r="E15" s="59"/>
      <c r="F15" s="59"/>
      <c r="G15" s="59"/>
      <c r="H15" s="59"/>
      <c r="I15" s="59"/>
      <c r="J15" s="59"/>
      <c r="K15" s="59"/>
      <c r="L15" s="59"/>
      <c r="M15" s="59"/>
      <c r="N15" s="59"/>
      <c r="O15" s="59"/>
    </row>
    <row r="16" spans="1:15" ht="12.75">
      <c r="A16" s="59"/>
      <c r="B16" s="59"/>
      <c r="C16" s="59"/>
      <c r="D16" s="59"/>
      <c r="E16" s="59"/>
      <c r="F16" s="59"/>
      <c r="G16" s="59"/>
      <c r="H16" s="59"/>
      <c r="I16" s="59"/>
      <c r="J16" s="59"/>
      <c r="K16" s="59"/>
      <c r="L16" s="59"/>
      <c r="M16" s="59"/>
      <c r="N16" s="59"/>
      <c r="O16" s="59"/>
    </row>
    <row r="17" spans="1:15" ht="12.75">
      <c r="A17" s="59"/>
      <c r="B17" s="59"/>
      <c r="C17" s="59"/>
      <c r="D17" s="59"/>
      <c r="E17" s="59"/>
      <c r="F17" s="59"/>
      <c r="G17" s="59"/>
      <c r="H17" s="59"/>
      <c r="I17" s="59"/>
      <c r="J17" s="59"/>
      <c r="K17" s="59"/>
      <c r="L17" s="59"/>
      <c r="M17" s="59"/>
      <c r="N17" s="59"/>
      <c r="O17" s="59"/>
    </row>
    <row r="18" spans="1:15" ht="12.75">
      <c r="A18" s="59"/>
      <c r="B18" s="59"/>
      <c r="C18" s="59"/>
      <c r="D18" s="59"/>
      <c r="E18" s="59"/>
      <c r="F18" s="59"/>
      <c r="G18" s="59"/>
      <c r="H18" s="59"/>
      <c r="I18" s="59"/>
      <c r="J18" s="59"/>
      <c r="K18" s="59"/>
      <c r="L18" s="59"/>
      <c r="M18" s="59"/>
      <c r="N18" s="59"/>
      <c r="O18" s="59"/>
    </row>
    <row r="19" spans="1:15" ht="12.75">
      <c r="A19" s="59"/>
      <c r="B19" s="59"/>
      <c r="C19" s="59"/>
      <c r="D19" s="59"/>
      <c r="E19" s="59"/>
      <c r="F19" s="59"/>
      <c r="G19" s="59"/>
      <c r="H19" s="59"/>
      <c r="I19" s="59"/>
      <c r="J19" s="59"/>
      <c r="K19" s="59"/>
      <c r="L19" s="59"/>
      <c r="M19" s="59"/>
      <c r="N19" s="59"/>
      <c r="O19" s="59"/>
    </row>
    <row r="20" spans="1:15" ht="12.75">
      <c r="A20" s="59"/>
      <c r="B20" s="59"/>
      <c r="C20" s="59"/>
      <c r="D20" s="59"/>
      <c r="E20" s="59"/>
      <c r="F20" s="59"/>
      <c r="G20" s="59"/>
      <c r="H20" s="59"/>
      <c r="I20" s="59"/>
      <c r="J20" s="59"/>
      <c r="K20" s="59"/>
      <c r="L20" s="59"/>
      <c r="M20" s="59"/>
      <c r="N20" s="59"/>
      <c r="O20" s="59"/>
    </row>
    <row r="21" spans="1:15" ht="12.75">
      <c r="A21" s="59"/>
      <c r="B21" s="59"/>
      <c r="C21" s="59"/>
      <c r="D21" s="59"/>
      <c r="E21" s="59"/>
      <c r="F21" s="59"/>
      <c r="G21" s="59"/>
      <c r="H21" s="59"/>
      <c r="I21" s="59"/>
      <c r="J21" s="59"/>
      <c r="K21" s="59"/>
      <c r="L21" s="59"/>
      <c r="M21" s="59"/>
      <c r="N21" s="59"/>
      <c r="O21" s="59"/>
    </row>
    <row r="22" spans="1:15" ht="12.75">
      <c r="A22" s="59"/>
      <c r="B22" s="59"/>
      <c r="C22" s="59"/>
      <c r="D22" s="59"/>
      <c r="E22" s="59"/>
      <c r="F22" s="59"/>
      <c r="G22" s="59"/>
      <c r="H22" s="59"/>
      <c r="I22" s="59"/>
      <c r="J22" s="59"/>
      <c r="K22" s="59"/>
      <c r="L22" s="59"/>
      <c r="M22" s="59"/>
      <c r="N22" s="59"/>
      <c r="O22" s="59"/>
    </row>
    <row r="23" spans="1:15" ht="12.75">
      <c r="A23" s="59"/>
      <c r="B23" s="59"/>
      <c r="C23" s="59"/>
      <c r="D23" s="59"/>
      <c r="E23" s="59"/>
      <c r="F23" s="59"/>
      <c r="G23" s="59"/>
      <c r="H23" s="59"/>
      <c r="I23" s="59"/>
      <c r="J23" s="59"/>
      <c r="K23" s="59"/>
      <c r="L23" s="59"/>
      <c r="M23" s="59"/>
      <c r="N23" s="59"/>
      <c r="O23" s="59"/>
    </row>
    <row r="24" spans="1:15" ht="12.75">
      <c r="A24" s="59"/>
      <c r="B24" s="59"/>
      <c r="C24" s="59"/>
      <c r="D24" s="59"/>
      <c r="E24" s="59"/>
      <c r="F24" s="59"/>
      <c r="G24" s="59"/>
      <c r="H24" s="59"/>
      <c r="I24" s="59"/>
      <c r="J24" s="59"/>
      <c r="K24" s="59"/>
      <c r="L24" s="59"/>
      <c r="M24" s="59"/>
      <c r="N24" s="59"/>
      <c r="O24" s="59"/>
    </row>
    <row r="25" spans="1:15" ht="12.75">
      <c r="A25" s="59"/>
      <c r="B25" s="59"/>
      <c r="C25" s="59"/>
      <c r="D25" s="59"/>
      <c r="E25" s="59"/>
      <c r="F25" s="59"/>
      <c r="G25" s="59"/>
      <c r="H25" s="59"/>
      <c r="I25" s="59"/>
      <c r="J25" s="59"/>
      <c r="K25" s="59"/>
      <c r="L25" s="59"/>
      <c r="M25" s="59"/>
      <c r="N25" s="59"/>
      <c r="O25" s="59"/>
    </row>
    <row r="26" spans="1:15" ht="12.75">
      <c r="A26" s="59"/>
      <c r="B26" s="59"/>
      <c r="C26" s="59"/>
      <c r="D26" s="59"/>
      <c r="E26" s="59"/>
      <c r="F26" s="59"/>
      <c r="G26" s="59"/>
      <c r="H26" s="59"/>
      <c r="I26" s="59"/>
      <c r="J26" s="59"/>
      <c r="K26" s="59"/>
      <c r="L26" s="59"/>
      <c r="M26" s="59"/>
      <c r="N26" s="59"/>
      <c r="O26" s="59"/>
    </row>
    <row r="27" spans="1:15" ht="12.75">
      <c r="A27" s="59"/>
      <c r="B27" s="59"/>
      <c r="C27" s="59"/>
      <c r="D27" s="59"/>
      <c r="E27" s="59"/>
      <c r="F27" s="59"/>
      <c r="G27" s="59"/>
      <c r="H27" s="59"/>
      <c r="I27" s="59"/>
      <c r="J27" s="59"/>
      <c r="K27" s="59"/>
      <c r="L27" s="59"/>
      <c r="M27" s="59"/>
      <c r="N27" s="59"/>
      <c r="O27" s="59"/>
    </row>
    <row r="28" spans="1:15" ht="12.75">
      <c r="A28" s="59"/>
      <c r="B28" s="59"/>
      <c r="C28" s="59"/>
      <c r="D28" s="59"/>
      <c r="E28" s="59"/>
      <c r="F28" s="59"/>
      <c r="G28" s="59"/>
      <c r="H28" s="59"/>
      <c r="I28" s="59"/>
      <c r="J28" s="59"/>
      <c r="K28" s="59"/>
      <c r="L28" s="59"/>
      <c r="M28" s="59"/>
      <c r="N28" s="59"/>
      <c r="O28" s="59"/>
    </row>
    <row r="29" spans="1:15" ht="12.75">
      <c r="A29" s="59"/>
      <c r="B29" s="59"/>
      <c r="C29" s="59"/>
      <c r="D29" s="59"/>
      <c r="E29" s="59"/>
      <c r="F29" s="59"/>
      <c r="G29" s="59"/>
      <c r="H29" s="59"/>
      <c r="I29" s="59"/>
      <c r="J29" s="59"/>
      <c r="K29" s="59"/>
      <c r="L29" s="59"/>
      <c r="M29" s="59"/>
      <c r="N29" s="59"/>
      <c r="O29" s="59"/>
    </row>
    <row r="30" spans="1:15" ht="12.75">
      <c r="A30" s="59"/>
      <c r="B30" s="59"/>
      <c r="C30" s="59"/>
      <c r="D30" s="59"/>
      <c r="E30" s="59"/>
      <c r="F30" s="59"/>
      <c r="G30" s="59"/>
      <c r="H30" s="59"/>
      <c r="I30" s="59"/>
      <c r="J30" s="59"/>
      <c r="K30" s="59"/>
      <c r="L30" s="59"/>
      <c r="M30" s="59"/>
      <c r="N30" s="59"/>
      <c r="O30" s="59"/>
    </row>
    <row r="31" spans="1:15" ht="12.75">
      <c r="A31" s="59"/>
      <c r="B31" s="59"/>
      <c r="C31" s="59"/>
      <c r="D31" s="59"/>
      <c r="E31" s="59"/>
      <c r="F31" s="59"/>
      <c r="G31" s="59"/>
      <c r="H31" s="59"/>
      <c r="I31" s="59"/>
      <c r="J31" s="59"/>
      <c r="K31" s="59"/>
      <c r="L31" s="59"/>
      <c r="M31" s="59"/>
      <c r="N31" s="59"/>
      <c r="O31" s="59"/>
    </row>
    <row r="32" spans="1:15" ht="12.75">
      <c r="A32" s="59"/>
      <c r="B32" s="59"/>
      <c r="C32" s="59"/>
      <c r="D32" s="59"/>
      <c r="E32" s="59"/>
      <c r="F32" s="59"/>
      <c r="G32" s="59"/>
      <c r="H32" s="59"/>
      <c r="I32" s="59"/>
      <c r="J32" s="59"/>
      <c r="K32" s="59"/>
      <c r="L32" s="59"/>
      <c r="M32" s="59"/>
      <c r="N32" s="59"/>
      <c r="O32" s="59"/>
    </row>
    <row r="33" spans="1:15" ht="12.75">
      <c r="A33" s="59"/>
      <c r="B33" s="59"/>
      <c r="C33" s="59"/>
      <c r="D33" s="59"/>
      <c r="E33" s="59"/>
      <c r="F33" s="59"/>
      <c r="G33" s="59"/>
      <c r="H33" s="59"/>
      <c r="I33" s="59"/>
      <c r="J33" s="59"/>
      <c r="K33" s="59"/>
      <c r="L33" s="59"/>
      <c r="M33" s="59"/>
      <c r="N33" s="59"/>
      <c r="O33" s="59"/>
    </row>
    <row r="34" spans="1:15" ht="12.75">
      <c r="A34" s="59"/>
      <c r="B34" s="59"/>
      <c r="C34" s="59"/>
      <c r="D34" s="59"/>
      <c r="E34" s="59"/>
      <c r="F34" s="59"/>
      <c r="G34" s="59"/>
      <c r="H34" s="59"/>
      <c r="I34" s="59"/>
      <c r="J34" s="59"/>
      <c r="K34" s="59"/>
      <c r="L34" s="59"/>
      <c r="M34" s="59"/>
      <c r="N34" s="59"/>
      <c r="O34" s="59"/>
    </row>
    <row r="35" spans="1:15" ht="12.75">
      <c r="A35" s="59"/>
      <c r="B35" s="59"/>
      <c r="C35" s="59"/>
      <c r="D35" s="59"/>
      <c r="E35" s="59"/>
      <c r="F35" s="59"/>
      <c r="G35" s="59"/>
      <c r="H35" s="59"/>
      <c r="I35" s="59"/>
      <c r="J35" s="59"/>
      <c r="K35" s="59"/>
      <c r="L35" s="59"/>
      <c r="M35" s="59"/>
      <c r="N35" s="59"/>
      <c r="O35" s="59"/>
    </row>
    <row r="36" spans="1:15" ht="12.75">
      <c r="A36" s="59"/>
      <c r="B36" s="59"/>
      <c r="C36" s="59"/>
      <c r="D36" s="59"/>
      <c r="E36" s="59"/>
      <c r="F36" s="59"/>
      <c r="G36" s="59"/>
      <c r="H36" s="59"/>
      <c r="I36" s="59"/>
      <c r="J36" s="59"/>
      <c r="K36" s="59"/>
      <c r="L36" s="59"/>
      <c r="M36" s="59"/>
      <c r="N36" s="59"/>
      <c r="O36" s="59"/>
    </row>
    <row r="37" spans="1:15" ht="12.75">
      <c r="A37" s="59"/>
      <c r="B37" s="59"/>
      <c r="C37" s="59"/>
      <c r="D37" s="59"/>
      <c r="E37" s="59"/>
      <c r="F37" s="59"/>
      <c r="G37" s="59"/>
      <c r="H37" s="59"/>
      <c r="I37" s="59"/>
      <c r="J37" s="59"/>
      <c r="K37" s="59"/>
      <c r="L37" s="59"/>
      <c r="M37" s="59"/>
      <c r="N37" s="59"/>
      <c r="O37" s="59"/>
    </row>
    <row r="38" spans="1:15" ht="12.75">
      <c r="A38" s="59"/>
      <c r="B38" s="59"/>
      <c r="C38" s="59"/>
      <c r="D38" s="59"/>
      <c r="E38" s="59"/>
      <c r="F38" s="59"/>
      <c r="G38" s="59"/>
      <c r="H38" s="59"/>
      <c r="I38" s="59"/>
      <c r="J38" s="59"/>
      <c r="K38" s="59"/>
      <c r="L38" s="59"/>
      <c r="M38" s="59"/>
      <c r="N38" s="59"/>
      <c r="O38" s="59"/>
    </row>
    <row r="39" spans="1:15" ht="12.75">
      <c r="A39" s="59"/>
      <c r="B39" s="59"/>
      <c r="C39" s="59"/>
      <c r="D39" s="59"/>
      <c r="E39" s="59"/>
      <c r="F39" s="59"/>
      <c r="G39" s="59"/>
      <c r="H39" s="59"/>
      <c r="I39" s="59"/>
      <c r="J39" s="59"/>
      <c r="K39" s="59"/>
      <c r="L39" s="59"/>
      <c r="M39" s="59"/>
      <c r="N39" s="59"/>
      <c r="O39" s="59"/>
    </row>
    <row r="40" spans="1:15" ht="12.75">
      <c r="A40" s="59"/>
      <c r="B40" s="59"/>
      <c r="C40" s="59"/>
      <c r="D40" s="59"/>
      <c r="E40" s="59"/>
      <c r="F40" s="59"/>
      <c r="G40" s="59"/>
      <c r="H40" s="59"/>
      <c r="I40" s="59"/>
      <c r="J40" s="59"/>
      <c r="K40" s="59"/>
      <c r="L40" s="59"/>
      <c r="M40" s="59"/>
      <c r="N40" s="59"/>
      <c r="O40" s="59"/>
    </row>
  </sheetData>
  <sheetProtection/>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3"/>
  <dimension ref="A1:P39"/>
  <sheetViews>
    <sheetView showGridLines="0" showRowColHeaders="0" zoomScale="108" zoomScaleNormal="108" workbookViewId="0" topLeftCell="A1">
      <selection activeCell="A1" sqref="A1"/>
    </sheetView>
  </sheetViews>
  <sheetFormatPr defaultColWidth="9.140625" defaultRowHeight="12.75"/>
  <sheetData>
    <row r="1" spans="1:16" ht="12.75">
      <c r="A1" s="59"/>
      <c r="B1" s="59"/>
      <c r="C1" s="59"/>
      <c r="D1" s="59"/>
      <c r="E1" s="59"/>
      <c r="F1" s="59"/>
      <c r="G1" s="59"/>
      <c r="H1" s="59"/>
      <c r="I1" s="59"/>
      <c r="J1" s="59"/>
      <c r="K1" s="59"/>
      <c r="L1" s="59"/>
      <c r="M1" s="59"/>
      <c r="N1" s="59"/>
      <c r="O1" s="59"/>
      <c r="P1" s="59"/>
    </row>
    <row r="2" spans="1:16" ht="12.75">
      <c r="A2" s="59"/>
      <c r="B2" s="59"/>
      <c r="C2" s="59"/>
      <c r="D2" s="59"/>
      <c r="E2" s="59"/>
      <c r="F2" s="59"/>
      <c r="G2" s="59"/>
      <c r="H2" s="59"/>
      <c r="I2" s="59"/>
      <c r="J2" s="59"/>
      <c r="K2" s="59"/>
      <c r="L2" s="59"/>
      <c r="M2" s="59"/>
      <c r="N2" s="59"/>
      <c r="O2" s="59"/>
      <c r="P2" s="59"/>
    </row>
    <row r="3" spans="1:16" ht="12.75">
      <c r="A3" s="59"/>
      <c r="B3" s="59"/>
      <c r="C3" s="59"/>
      <c r="D3" s="59"/>
      <c r="E3" s="59"/>
      <c r="F3" s="59"/>
      <c r="G3" s="59"/>
      <c r="H3" s="59"/>
      <c r="I3" s="59"/>
      <c r="J3" s="59"/>
      <c r="K3" s="59"/>
      <c r="L3" s="59"/>
      <c r="M3" s="59"/>
      <c r="N3" s="59"/>
      <c r="O3" s="59"/>
      <c r="P3" s="59"/>
    </row>
    <row r="4" spans="1:16" ht="12.75">
      <c r="A4" s="59"/>
      <c r="B4" s="59"/>
      <c r="C4" s="59"/>
      <c r="D4" s="59"/>
      <c r="E4" s="59"/>
      <c r="F4" s="59"/>
      <c r="G4" s="59"/>
      <c r="H4" s="59"/>
      <c r="I4" s="59"/>
      <c r="J4" s="59"/>
      <c r="K4" s="59"/>
      <c r="L4" s="59"/>
      <c r="M4" s="59"/>
      <c r="N4" s="59"/>
      <c r="O4" s="59"/>
      <c r="P4" s="59"/>
    </row>
    <row r="5" spans="1:16" ht="12.75">
      <c r="A5" s="59"/>
      <c r="B5" s="59"/>
      <c r="C5" s="59"/>
      <c r="D5" s="59"/>
      <c r="E5" s="59"/>
      <c r="F5" s="59"/>
      <c r="G5" s="59"/>
      <c r="H5" s="59"/>
      <c r="I5" s="59"/>
      <c r="J5" s="59"/>
      <c r="K5" s="59"/>
      <c r="L5" s="59"/>
      <c r="M5" s="59"/>
      <c r="N5" s="59"/>
      <c r="O5" s="59"/>
      <c r="P5" s="59"/>
    </row>
    <row r="6" spans="1:16" ht="12.75">
      <c r="A6" s="59"/>
      <c r="B6" s="59"/>
      <c r="C6" s="59"/>
      <c r="D6" s="59"/>
      <c r="E6" s="59"/>
      <c r="F6" s="59"/>
      <c r="G6" s="59"/>
      <c r="H6" s="59"/>
      <c r="I6" s="59"/>
      <c r="J6" s="59"/>
      <c r="K6" s="59"/>
      <c r="L6" s="59"/>
      <c r="M6" s="59"/>
      <c r="N6" s="59"/>
      <c r="O6" s="59"/>
      <c r="P6" s="59"/>
    </row>
    <row r="7" spans="1:16" ht="12.75">
      <c r="A7" s="59"/>
      <c r="B7" s="59"/>
      <c r="C7" s="59"/>
      <c r="D7" s="59"/>
      <c r="E7" s="59"/>
      <c r="F7" s="59"/>
      <c r="G7" s="59"/>
      <c r="H7" s="59"/>
      <c r="I7" s="59"/>
      <c r="J7" s="59"/>
      <c r="K7" s="59"/>
      <c r="L7" s="59"/>
      <c r="M7" s="59"/>
      <c r="N7" s="59"/>
      <c r="O7" s="59"/>
      <c r="P7" s="59"/>
    </row>
    <row r="8" spans="1:16" ht="12.75">
      <c r="A8" s="59"/>
      <c r="B8" s="59"/>
      <c r="C8" s="59"/>
      <c r="D8" s="59"/>
      <c r="E8" s="59"/>
      <c r="F8" s="59"/>
      <c r="G8" s="59"/>
      <c r="H8" s="59"/>
      <c r="I8" s="59"/>
      <c r="J8" s="59"/>
      <c r="K8" s="59"/>
      <c r="L8" s="59"/>
      <c r="M8" s="59"/>
      <c r="N8" s="59"/>
      <c r="O8" s="59"/>
      <c r="P8" s="59"/>
    </row>
    <row r="9" spans="1:16" ht="12.75">
      <c r="A9" s="59"/>
      <c r="B9" s="59"/>
      <c r="C9" s="59"/>
      <c r="D9" s="59"/>
      <c r="E9" s="59"/>
      <c r="F9" s="59"/>
      <c r="G9" s="59"/>
      <c r="H9" s="59"/>
      <c r="I9" s="59"/>
      <c r="J9" s="59"/>
      <c r="K9" s="59"/>
      <c r="L9" s="59"/>
      <c r="M9" s="59"/>
      <c r="N9" s="59"/>
      <c r="O9" s="59"/>
      <c r="P9" s="59"/>
    </row>
    <row r="10" spans="1:16" ht="12.75">
      <c r="A10" s="59"/>
      <c r="B10" s="59"/>
      <c r="C10" s="59"/>
      <c r="D10" s="59"/>
      <c r="E10" s="59"/>
      <c r="F10" s="59"/>
      <c r="G10" s="59"/>
      <c r="H10" s="59"/>
      <c r="I10" s="59"/>
      <c r="J10" s="59"/>
      <c r="K10" s="59"/>
      <c r="L10" s="59"/>
      <c r="M10" s="59"/>
      <c r="N10" s="59"/>
      <c r="O10" s="59"/>
      <c r="P10" s="59"/>
    </row>
    <row r="11" spans="1:16" ht="12.75">
      <c r="A11" s="59"/>
      <c r="B11" s="59"/>
      <c r="C11" s="59"/>
      <c r="D11" s="59"/>
      <c r="E11" s="59"/>
      <c r="F11" s="59"/>
      <c r="G11" s="59"/>
      <c r="H11" s="59"/>
      <c r="I11" s="59"/>
      <c r="J11" s="59"/>
      <c r="K11" s="59"/>
      <c r="L11" s="59"/>
      <c r="M11" s="59"/>
      <c r="N11" s="59"/>
      <c r="O11" s="59"/>
      <c r="P11" s="59"/>
    </row>
    <row r="12" spans="1:16" ht="12.75">
      <c r="A12" s="59"/>
      <c r="B12" s="59"/>
      <c r="C12" s="59"/>
      <c r="D12" s="59"/>
      <c r="E12" s="59"/>
      <c r="F12" s="59"/>
      <c r="G12" s="59"/>
      <c r="H12" s="59"/>
      <c r="I12" s="59"/>
      <c r="J12" s="59"/>
      <c r="K12" s="59"/>
      <c r="L12" s="59"/>
      <c r="M12" s="59"/>
      <c r="N12" s="59"/>
      <c r="O12" s="59"/>
      <c r="P12" s="59"/>
    </row>
    <row r="13" spans="1:16" ht="12.75">
      <c r="A13" s="59"/>
      <c r="B13" s="59"/>
      <c r="C13" s="59"/>
      <c r="D13" s="59"/>
      <c r="E13" s="59"/>
      <c r="F13" s="59"/>
      <c r="G13" s="59"/>
      <c r="H13" s="59"/>
      <c r="I13" s="59"/>
      <c r="J13" s="59"/>
      <c r="K13" s="59"/>
      <c r="L13" s="59"/>
      <c r="M13" s="59"/>
      <c r="N13" s="59"/>
      <c r="O13" s="59"/>
      <c r="P13" s="59"/>
    </row>
    <row r="14" spans="1:16" ht="12.75">
      <c r="A14" s="59"/>
      <c r="B14" s="59"/>
      <c r="C14" s="59"/>
      <c r="D14" s="59"/>
      <c r="E14" s="59"/>
      <c r="F14" s="59"/>
      <c r="G14" s="59"/>
      <c r="H14" s="59"/>
      <c r="I14" s="59"/>
      <c r="J14" s="59"/>
      <c r="K14" s="59"/>
      <c r="L14" s="59"/>
      <c r="M14" s="59"/>
      <c r="N14" s="59"/>
      <c r="O14" s="59"/>
      <c r="P14" s="59"/>
    </row>
    <row r="15" spans="1:16" ht="12.75">
      <c r="A15" s="59"/>
      <c r="B15" s="59"/>
      <c r="C15" s="59"/>
      <c r="D15" s="59"/>
      <c r="E15" s="59"/>
      <c r="F15" s="59"/>
      <c r="G15" s="59"/>
      <c r="H15" s="59"/>
      <c r="I15" s="59"/>
      <c r="J15" s="59"/>
      <c r="K15" s="59"/>
      <c r="L15" s="59"/>
      <c r="M15" s="59"/>
      <c r="N15" s="59"/>
      <c r="O15" s="59"/>
      <c r="P15" s="59"/>
    </row>
    <row r="16" spans="1:16" ht="12.75">
      <c r="A16" s="59"/>
      <c r="B16" s="59"/>
      <c r="C16" s="59"/>
      <c r="D16" s="59"/>
      <c r="E16" s="59"/>
      <c r="F16" s="59"/>
      <c r="G16" s="59"/>
      <c r="H16" s="59"/>
      <c r="I16" s="59"/>
      <c r="J16" s="59"/>
      <c r="K16" s="59"/>
      <c r="L16" s="59"/>
      <c r="M16" s="59"/>
      <c r="N16" s="59"/>
      <c r="O16" s="59"/>
      <c r="P16" s="59"/>
    </row>
    <row r="17" spans="1:16" ht="12.75">
      <c r="A17" s="59"/>
      <c r="B17" s="59"/>
      <c r="C17" s="59"/>
      <c r="D17" s="59"/>
      <c r="E17" s="59"/>
      <c r="F17" s="59"/>
      <c r="G17" s="59"/>
      <c r="H17" s="59"/>
      <c r="I17" s="59"/>
      <c r="J17" s="59"/>
      <c r="K17" s="59"/>
      <c r="L17" s="59"/>
      <c r="M17" s="59"/>
      <c r="N17" s="59"/>
      <c r="O17" s="59"/>
      <c r="P17" s="59"/>
    </row>
    <row r="18" spans="1:16" ht="12.75">
      <c r="A18" s="59"/>
      <c r="B18" s="59"/>
      <c r="C18" s="59"/>
      <c r="D18" s="59"/>
      <c r="E18" s="59"/>
      <c r="F18" s="59"/>
      <c r="G18" s="59"/>
      <c r="H18" s="59"/>
      <c r="I18" s="59"/>
      <c r="J18" s="59"/>
      <c r="K18" s="59"/>
      <c r="L18" s="59"/>
      <c r="M18" s="59"/>
      <c r="N18" s="59"/>
      <c r="O18" s="59"/>
      <c r="P18" s="59"/>
    </row>
    <row r="19" spans="1:16" ht="12.75">
      <c r="A19" s="59"/>
      <c r="B19" s="59"/>
      <c r="C19" s="59"/>
      <c r="D19" s="59"/>
      <c r="E19" s="59"/>
      <c r="F19" s="59"/>
      <c r="G19" s="59"/>
      <c r="H19" s="59"/>
      <c r="I19" s="59"/>
      <c r="J19" s="59"/>
      <c r="K19" s="59"/>
      <c r="L19" s="59"/>
      <c r="M19" s="59"/>
      <c r="N19" s="59"/>
      <c r="O19" s="59"/>
      <c r="P19" s="59"/>
    </row>
    <row r="20" spans="1:16" ht="12.75">
      <c r="A20" s="59"/>
      <c r="B20" s="59"/>
      <c r="C20" s="59"/>
      <c r="D20" s="59"/>
      <c r="E20" s="59"/>
      <c r="F20" s="59"/>
      <c r="G20" s="59"/>
      <c r="H20" s="59"/>
      <c r="I20" s="59"/>
      <c r="J20" s="59"/>
      <c r="K20" s="59"/>
      <c r="L20" s="59"/>
      <c r="M20" s="59"/>
      <c r="N20" s="59"/>
      <c r="O20" s="59"/>
      <c r="P20" s="59"/>
    </row>
    <row r="21" spans="1:16" ht="12.75">
      <c r="A21" s="59"/>
      <c r="B21" s="59"/>
      <c r="C21" s="59"/>
      <c r="D21" s="59"/>
      <c r="E21" s="59"/>
      <c r="F21" s="59"/>
      <c r="G21" s="59"/>
      <c r="H21" s="59"/>
      <c r="I21" s="59"/>
      <c r="J21" s="59"/>
      <c r="K21" s="59"/>
      <c r="L21" s="59"/>
      <c r="M21" s="59"/>
      <c r="N21" s="59"/>
      <c r="O21" s="59"/>
      <c r="P21" s="59"/>
    </row>
    <row r="22" spans="1:16" ht="12.75">
      <c r="A22" s="59"/>
      <c r="B22" s="59"/>
      <c r="C22" s="59"/>
      <c r="D22" s="59"/>
      <c r="E22" s="59"/>
      <c r="F22" s="59"/>
      <c r="G22" s="59"/>
      <c r="H22" s="59"/>
      <c r="I22" s="59"/>
      <c r="J22" s="59"/>
      <c r="K22" s="59"/>
      <c r="L22" s="59"/>
      <c r="M22" s="59"/>
      <c r="N22" s="59"/>
      <c r="O22" s="59"/>
      <c r="P22" s="59"/>
    </row>
    <row r="23" spans="1:16" ht="12.75">
      <c r="A23" s="59"/>
      <c r="B23" s="59"/>
      <c r="C23" s="59"/>
      <c r="D23" s="59"/>
      <c r="E23" s="59"/>
      <c r="F23" s="59"/>
      <c r="G23" s="59"/>
      <c r="H23" s="59"/>
      <c r="I23" s="59"/>
      <c r="J23" s="59"/>
      <c r="K23" s="59"/>
      <c r="L23" s="59"/>
      <c r="M23" s="59"/>
      <c r="N23" s="59"/>
      <c r="O23" s="59"/>
      <c r="P23" s="59"/>
    </row>
    <row r="24" spans="1:16" ht="12.75">
      <c r="A24" s="59"/>
      <c r="B24" s="59"/>
      <c r="C24" s="59"/>
      <c r="D24" s="59"/>
      <c r="E24" s="59"/>
      <c r="F24" s="59"/>
      <c r="G24" s="59"/>
      <c r="H24" s="59"/>
      <c r="I24" s="59"/>
      <c r="J24" s="59"/>
      <c r="K24" s="59"/>
      <c r="L24" s="59"/>
      <c r="M24" s="59"/>
      <c r="N24" s="59"/>
      <c r="O24" s="59"/>
      <c r="P24" s="59"/>
    </row>
    <row r="25" spans="1:16" ht="12.75">
      <c r="A25" s="59"/>
      <c r="B25" s="59"/>
      <c r="C25" s="59"/>
      <c r="D25" s="59"/>
      <c r="E25" s="59"/>
      <c r="F25" s="59"/>
      <c r="G25" s="59"/>
      <c r="H25" s="59"/>
      <c r="I25" s="59"/>
      <c r="J25" s="59"/>
      <c r="K25" s="59"/>
      <c r="L25" s="59"/>
      <c r="M25" s="59"/>
      <c r="N25" s="59"/>
      <c r="O25" s="59"/>
      <c r="P25" s="59"/>
    </row>
    <row r="26" spans="1:16" ht="12.75">
      <c r="A26" s="59"/>
      <c r="B26" s="59"/>
      <c r="C26" s="59"/>
      <c r="D26" s="59"/>
      <c r="E26" s="59"/>
      <c r="F26" s="59"/>
      <c r="G26" s="59"/>
      <c r="H26" s="59"/>
      <c r="I26" s="59"/>
      <c r="J26" s="59"/>
      <c r="K26" s="59"/>
      <c r="L26" s="59"/>
      <c r="M26" s="59"/>
      <c r="N26" s="59"/>
      <c r="O26" s="59"/>
      <c r="P26" s="59"/>
    </row>
    <row r="27" spans="1:16" ht="12.75">
      <c r="A27" s="59"/>
      <c r="B27" s="59"/>
      <c r="C27" s="59"/>
      <c r="D27" s="59"/>
      <c r="E27" s="59"/>
      <c r="F27" s="59"/>
      <c r="G27" s="59"/>
      <c r="H27" s="59"/>
      <c r="I27" s="59"/>
      <c r="J27" s="59"/>
      <c r="K27" s="59"/>
      <c r="L27" s="59"/>
      <c r="M27" s="59"/>
      <c r="N27" s="59"/>
      <c r="O27" s="59"/>
      <c r="P27" s="59"/>
    </row>
    <row r="28" spans="1:16" ht="12.75">
      <c r="A28" s="59"/>
      <c r="B28" s="59"/>
      <c r="C28" s="59"/>
      <c r="D28" s="59"/>
      <c r="E28" s="59"/>
      <c r="F28" s="59"/>
      <c r="G28" s="59"/>
      <c r="H28" s="59"/>
      <c r="I28" s="59"/>
      <c r="J28" s="59"/>
      <c r="K28" s="59"/>
      <c r="L28" s="59"/>
      <c r="M28" s="59"/>
      <c r="N28" s="59"/>
      <c r="O28" s="59"/>
      <c r="P28" s="59"/>
    </row>
    <row r="29" spans="1:16" ht="12.75">
      <c r="A29" s="59"/>
      <c r="B29" s="59"/>
      <c r="C29" s="59"/>
      <c r="D29" s="59"/>
      <c r="E29" s="59"/>
      <c r="F29" s="59"/>
      <c r="G29" s="59"/>
      <c r="H29" s="59"/>
      <c r="I29" s="59"/>
      <c r="J29" s="59"/>
      <c r="K29" s="59"/>
      <c r="L29" s="59"/>
      <c r="M29" s="59"/>
      <c r="N29" s="59"/>
      <c r="O29" s="59"/>
      <c r="P29" s="59"/>
    </row>
    <row r="30" spans="1:16" ht="12.75">
      <c r="A30" s="59"/>
      <c r="B30" s="59"/>
      <c r="C30" s="59"/>
      <c r="D30" s="59"/>
      <c r="E30" s="59"/>
      <c r="F30" s="59"/>
      <c r="G30" s="59"/>
      <c r="H30" s="59"/>
      <c r="I30" s="59"/>
      <c r="J30" s="59"/>
      <c r="K30" s="59"/>
      <c r="L30" s="59"/>
      <c r="M30" s="59"/>
      <c r="N30" s="59"/>
      <c r="O30" s="59"/>
      <c r="P30" s="59"/>
    </row>
    <row r="31" spans="1:16" ht="12.75">
      <c r="A31" s="59"/>
      <c r="B31" s="59"/>
      <c r="C31" s="59"/>
      <c r="D31" s="59"/>
      <c r="E31" s="59"/>
      <c r="F31" s="59"/>
      <c r="G31" s="59"/>
      <c r="H31" s="59"/>
      <c r="I31" s="59"/>
      <c r="J31" s="59"/>
      <c r="K31" s="59"/>
      <c r="L31" s="59"/>
      <c r="M31" s="59"/>
      <c r="N31" s="59"/>
      <c r="O31" s="59"/>
      <c r="P31" s="59"/>
    </row>
    <row r="32" spans="1:16" ht="12.75">
      <c r="A32" s="59"/>
      <c r="B32" s="59"/>
      <c r="C32" s="59"/>
      <c r="D32" s="59"/>
      <c r="E32" s="59"/>
      <c r="F32" s="59"/>
      <c r="G32" s="59"/>
      <c r="H32" s="59"/>
      <c r="I32" s="59"/>
      <c r="J32" s="59"/>
      <c r="K32" s="59"/>
      <c r="L32" s="59"/>
      <c r="M32" s="59"/>
      <c r="N32" s="59"/>
      <c r="O32" s="59"/>
      <c r="P32" s="59"/>
    </row>
    <row r="33" spans="1:16" ht="12.75">
      <c r="A33" s="59"/>
      <c r="B33" s="59"/>
      <c r="C33" s="59"/>
      <c r="D33" s="59"/>
      <c r="E33" s="59"/>
      <c r="F33" s="59"/>
      <c r="G33" s="59"/>
      <c r="H33" s="59"/>
      <c r="I33" s="59"/>
      <c r="J33" s="59"/>
      <c r="K33" s="59"/>
      <c r="L33" s="59"/>
      <c r="M33" s="59"/>
      <c r="N33" s="59"/>
      <c r="O33" s="59"/>
      <c r="P33" s="59"/>
    </row>
    <row r="34" spans="1:16" ht="12.75">
      <c r="A34" s="59"/>
      <c r="B34" s="59"/>
      <c r="C34" s="59"/>
      <c r="D34" s="59"/>
      <c r="E34" s="59"/>
      <c r="F34" s="59"/>
      <c r="G34" s="59"/>
      <c r="H34" s="59"/>
      <c r="I34" s="59"/>
      <c r="J34" s="59"/>
      <c r="K34" s="59"/>
      <c r="L34" s="59"/>
      <c r="M34" s="59"/>
      <c r="N34" s="59"/>
      <c r="O34" s="59"/>
      <c r="P34" s="59"/>
    </row>
    <row r="35" spans="1:16" ht="12.75">
      <c r="A35" s="59"/>
      <c r="B35" s="59"/>
      <c r="C35" s="59"/>
      <c r="D35" s="59"/>
      <c r="E35" s="59"/>
      <c r="F35" s="59"/>
      <c r="G35" s="59"/>
      <c r="H35" s="59"/>
      <c r="I35" s="59"/>
      <c r="J35" s="59"/>
      <c r="K35" s="59"/>
      <c r="L35" s="59"/>
      <c r="M35" s="59"/>
      <c r="N35" s="59"/>
      <c r="O35" s="59"/>
      <c r="P35" s="59"/>
    </row>
    <row r="36" spans="1:16" ht="12.75">
      <c r="A36" s="59"/>
      <c r="B36" s="59"/>
      <c r="C36" s="59"/>
      <c r="D36" s="59"/>
      <c r="E36" s="59"/>
      <c r="F36" s="59"/>
      <c r="G36" s="59"/>
      <c r="H36" s="59"/>
      <c r="I36" s="59"/>
      <c r="J36" s="59"/>
      <c r="K36" s="59"/>
      <c r="L36" s="59"/>
      <c r="M36" s="59"/>
      <c r="N36" s="59"/>
      <c r="O36" s="59"/>
      <c r="P36" s="59"/>
    </row>
    <row r="37" spans="1:16" ht="12.75">
      <c r="A37" s="59"/>
      <c r="B37" s="59"/>
      <c r="C37" s="59"/>
      <c r="D37" s="59"/>
      <c r="E37" s="59"/>
      <c r="F37" s="59"/>
      <c r="G37" s="59"/>
      <c r="H37" s="59"/>
      <c r="I37" s="59"/>
      <c r="J37" s="59"/>
      <c r="K37" s="59"/>
      <c r="L37" s="59"/>
      <c r="M37" s="59"/>
      <c r="N37" s="59"/>
      <c r="O37" s="59"/>
      <c r="P37" s="59"/>
    </row>
    <row r="38" spans="1:16" ht="12.75">
      <c r="A38" s="59"/>
      <c r="B38" s="59"/>
      <c r="C38" s="59"/>
      <c r="D38" s="59"/>
      <c r="E38" s="59"/>
      <c r="F38" s="59"/>
      <c r="G38" s="59"/>
      <c r="H38" s="59"/>
      <c r="I38" s="59"/>
      <c r="J38" s="59"/>
      <c r="K38" s="59"/>
      <c r="L38" s="59"/>
      <c r="M38" s="59"/>
      <c r="N38" s="59"/>
      <c r="O38" s="59"/>
      <c r="P38" s="59"/>
    </row>
    <row r="39" spans="1:16" ht="12.75">
      <c r="A39" s="59"/>
      <c r="B39" s="59"/>
      <c r="C39" s="59"/>
      <c r="D39" s="59"/>
      <c r="E39" s="59"/>
      <c r="F39" s="59"/>
      <c r="G39" s="59"/>
      <c r="H39" s="59"/>
      <c r="I39" s="59"/>
      <c r="J39" s="59"/>
      <c r="K39" s="59"/>
      <c r="L39" s="59"/>
      <c r="M39" s="59"/>
      <c r="N39" s="59"/>
      <c r="O39" s="59"/>
      <c r="P39" s="59"/>
    </row>
  </sheetData>
  <sheetProtection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Ken Gerow</cp:lastModifiedBy>
  <cp:lastPrinted>2006-02-24T04:57:49Z</cp:lastPrinted>
  <dcterms:created xsi:type="dcterms:W3CDTF">2005-01-20T05:09:33Z</dcterms:created>
  <dcterms:modified xsi:type="dcterms:W3CDTF">2006-09-14T16:41:46Z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